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a\Documents\MOJE DOKUMENTY\Obec Kryštofovy Hamry\Informace úřední deska a www\Info 2020\oprava komunikace NS\"/>
    </mc:Choice>
  </mc:AlternateContent>
  <xr:revisionPtr revIDLastSave="0" documentId="8_{650AA95B-96FB-48E1-8AED-A0FBEE6F4B33}" xr6:coauthVersionLast="45" xr6:coauthVersionMax="45" xr10:uidLastSave="{00000000-0000-0000-0000-000000000000}"/>
  <bookViews>
    <workbookView xWindow="-108" yWindow="-108" windowWidth="23256" windowHeight="12576" activeTab="2"/>
  </bookViews>
  <sheets>
    <sheet name="Stavební rozpočet" sheetId="1" r:id="rId1"/>
    <sheet name="Výkaz výměr" sheetId="2" r:id="rId2"/>
    <sheet name="Krycí list rozpočt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3" l="1"/>
  <c r="I22" i="3"/>
  <c r="L12" i="1"/>
  <c r="T12" i="1"/>
  <c r="V12" i="1"/>
  <c r="X12" i="1"/>
  <c r="J13" i="1"/>
  <c r="L13" i="1"/>
  <c r="O13" i="1"/>
  <c r="P12" i="1"/>
  <c r="Z13" i="1"/>
  <c r="AI12" i="1"/>
  <c r="AA13" i="1"/>
  <c r="AB13" i="1"/>
  <c r="AK12" i="1"/>
  <c r="AE13" i="1"/>
  <c r="H13" i="1"/>
  <c r="H12" i="1"/>
  <c r="AF13" i="1"/>
  <c r="AM13" i="1"/>
  <c r="AN13" i="1"/>
  <c r="L14" i="1"/>
  <c r="T14" i="1"/>
  <c r="V14" i="1"/>
  <c r="X14" i="1"/>
  <c r="J15" i="1"/>
  <c r="L15" i="1"/>
  <c r="O15" i="1"/>
  <c r="P14" i="1"/>
  <c r="Z15" i="1"/>
  <c r="AI14" i="1"/>
  <c r="AA15" i="1"/>
  <c r="AJ14" i="1"/>
  <c r="AE15" i="1"/>
  <c r="AM15" i="1"/>
  <c r="AF15" i="1"/>
  <c r="AN15" i="1"/>
  <c r="J16" i="1"/>
  <c r="L16" i="1"/>
  <c r="O16" i="1"/>
  <c r="Z16" i="1"/>
  <c r="AA16" i="1"/>
  <c r="AE16" i="1"/>
  <c r="AM16" i="1"/>
  <c r="AF16" i="1"/>
  <c r="AN16" i="1"/>
  <c r="J17" i="1"/>
  <c r="L17" i="1"/>
  <c r="O17" i="1"/>
  <c r="Z17" i="1"/>
  <c r="AA17" i="1"/>
  <c r="AE17" i="1"/>
  <c r="AM17" i="1"/>
  <c r="AF17" i="1"/>
  <c r="AN17" i="1"/>
  <c r="J18" i="1"/>
  <c r="L18" i="1"/>
  <c r="O18" i="1"/>
  <c r="Z18" i="1"/>
  <c r="AA18" i="1"/>
  <c r="AE18" i="1"/>
  <c r="AM18" i="1"/>
  <c r="AF18" i="1"/>
  <c r="AN18" i="1"/>
  <c r="J19" i="1"/>
  <c r="L19" i="1"/>
  <c r="O19" i="1"/>
  <c r="Z19" i="1"/>
  <c r="AA19" i="1"/>
  <c r="AE19" i="1"/>
  <c r="AM19" i="1"/>
  <c r="AF19" i="1"/>
  <c r="AN19" i="1"/>
  <c r="H20" i="1"/>
  <c r="R20" i="1"/>
  <c r="L20" i="1"/>
  <c r="P20" i="1"/>
  <c r="T20" i="1"/>
  <c r="V20" i="1"/>
  <c r="X20" i="1"/>
  <c r="AI20" i="1"/>
  <c r="AJ20" i="1"/>
  <c r="H21" i="1"/>
  <c r="I21" i="1"/>
  <c r="I20" i="1"/>
  <c r="J21" i="1"/>
  <c r="L21" i="1"/>
  <c r="O21" i="1"/>
  <c r="Z21" i="1"/>
  <c r="AA21" i="1"/>
  <c r="AB21" i="1"/>
  <c r="AK20" i="1"/>
  <c r="AE21" i="1"/>
  <c r="AF21" i="1"/>
  <c r="AM21" i="1"/>
  <c r="AN21" i="1"/>
  <c r="L22" i="1"/>
  <c r="T22" i="1"/>
  <c r="V22" i="1"/>
  <c r="X22" i="1"/>
  <c r="J23" i="1"/>
  <c r="AB23" i="1"/>
  <c r="AK22" i="1"/>
  <c r="L23" i="1"/>
  <c r="O23" i="1"/>
  <c r="P22" i="1"/>
  <c r="Z23" i="1"/>
  <c r="AI22" i="1"/>
  <c r="AA23" i="1"/>
  <c r="AJ22" i="1"/>
  <c r="AE23" i="1"/>
  <c r="H23" i="1"/>
  <c r="H22" i="1"/>
  <c r="AF23" i="1"/>
  <c r="AM23" i="1"/>
  <c r="AN23" i="1"/>
  <c r="L24" i="1"/>
  <c r="T24" i="1"/>
  <c r="V24" i="1"/>
  <c r="X24" i="1"/>
  <c r="J25" i="1"/>
  <c r="L25" i="1"/>
  <c r="O25" i="1"/>
  <c r="Z25" i="1"/>
  <c r="AI24" i="1"/>
  <c r="AA25" i="1"/>
  <c r="AE25" i="1"/>
  <c r="AM25" i="1"/>
  <c r="AF25" i="1"/>
  <c r="AN25" i="1"/>
  <c r="H26" i="1"/>
  <c r="J26" i="1"/>
  <c r="I26" i="1"/>
  <c r="L26" i="1"/>
  <c r="O26" i="1"/>
  <c r="Z26" i="1"/>
  <c r="AA26" i="1"/>
  <c r="AB26" i="1"/>
  <c r="AE26" i="1"/>
  <c r="AM26" i="1"/>
  <c r="AF26" i="1"/>
  <c r="AN26" i="1"/>
  <c r="J28" i="1"/>
  <c r="AB28" i="1"/>
  <c r="L28" i="1"/>
  <c r="O28" i="1"/>
  <c r="Z28" i="1"/>
  <c r="AA28" i="1"/>
  <c r="AE28" i="1"/>
  <c r="H28" i="1"/>
  <c r="AF28" i="1"/>
  <c r="AN28" i="1"/>
  <c r="AM28" i="1"/>
  <c r="L29" i="1"/>
  <c r="T29" i="1"/>
  <c r="V29" i="1"/>
  <c r="X29" i="1"/>
  <c r="J30" i="1"/>
  <c r="L30" i="1"/>
  <c r="O30" i="1"/>
  <c r="Z30" i="1"/>
  <c r="AA30" i="1"/>
  <c r="AB30" i="1"/>
  <c r="AE30" i="1"/>
  <c r="H30" i="1"/>
  <c r="AF30" i="1"/>
  <c r="AM30" i="1"/>
  <c r="AN30" i="1"/>
  <c r="J31" i="1"/>
  <c r="L31" i="1"/>
  <c r="O31" i="1"/>
  <c r="Z31" i="1"/>
  <c r="AA31" i="1"/>
  <c r="AB31" i="1"/>
  <c r="AE31" i="1"/>
  <c r="AM31" i="1"/>
  <c r="AF31" i="1"/>
  <c r="AN31" i="1"/>
  <c r="L32" i="1"/>
  <c r="T32" i="1"/>
  <c r="V32" i="1"/>
  <c r="X32" i="1"/>
  <c r="J33" i="1"/>
  <c r="AB33" i="1"/>
  <c r="L33" i="1"/>
  <c r="O33" i="1"/>
  <c r="Z33" i="1"/>
  <c r="AA33" i="1"/>
  <c r="AE33" i="1"/>
  <c r="H33" i="1"/>
  <c r="AF33" i="1"/>
  <c r="AN33" i="1"/>
  <c r="AM33" i="1"/>
  <c r="J34" i="1"/>
  <c r="I34" i="1"/>
  <c r="L34" i="1"/>
  <c r="O34" i="1"/>
  <c r="P32" i="1"/>
  <c r="Z34" i="1"/>
  <c r="AA34" i="1"/>
  <c r="AB34" i="1"/>
  <c r="AE34" i="1"/>
  <c r="H34" i="1"/>
  <c r="AF34" i="1"/>
  <c r="AN34" i="1"/>
  <c r="L35" i="1"/>
  <c r="T35" i="1"/>
  <c r="V35" i="1"/>
  <c r="X35" i="1"/>
  <c r="J36" i="1"/>
  <c r="L36" i="1"/>
  <c r="O36" i="1"/>
  <c r="P35" i="1"/>
  <c r="Z36" i="1"/>
  <c r="AI35" i="1"/>
  <c r="AA36" i="1"/>
  <c r="AJ35" i="1"/>
  <c r="AE36" i="1"/>
  <c r="H36" i="1"/>
  <c r="H35" i="1"/>
  <c r="AF36" i="1"/>
  <c r="AN36" i="1"/>
  <c r="L37" i="1"/>
  <c r="P37" i="1"/>
  <c r="T37" i="1"/>
  <c r="V37" i="1"/>
  <c r="X37" i="1"/>
  <c r="J38" i="1"/>
  <c r="AB38" i="1"/>
  <c r="AK37" i="1"/>
  <c r="L38" i="1"/>
  <c r="O38" i="1"/>
  <c r="Z38" i="1"/>
  <c r="AI37" i="1"/>
  <c r="AA38" i="1"/>
  <c r="AJ37" i="1"/>
  <c r="AE38" i="1"/>
  <c r="H38" i="1"/>
  <c r="AF38" i="1"/>
  <c r="AN38" i="1"/>
  <c r="AM38" i="1"/>
  <c r="L40" i="1"/>
  <c r="T40" i="1"/>
  <c r="V40" i="1"/>
  <c r="X40" i="1"/>
  <c r="J41" i="1"/>
  <c r="L41" i="1"/>
  <c r="O41" i="1"/>
  <c r="P40" i="1"/>
  <c r="Z41" i="1"/>
  <c r="AI40" i="1"/>
  <c r="AA41" i="1"/>
  <c r="AJ40" i="1"/>
  <c r="AE41" i="1"/>
  <c r="AM41" i="1"/>
  <c r="AF41" i="1"/>
  <c r="AN41" i="1"/>
  <c r="L42" i="1"/>
  <c r="T42" i="1"/>
  <c r="V42" i="1"/>
  <c r="X42" i="1"/>
  <c r="J43" i="1"/>
  <c r="AB43" i="1"/>
  <c r="L43" i="1"/>
  <c r="O43" i="1"/>
  <c r="Z43" i="1"/>
  <c r="AI42" i="1"/>
  <c r="AA43" i="1"/>
  <c r="AE43" i="1"/>
  <c r="H43" i="1"/>
  <c r="AF43" i="1"/>
  <c r="AN43" i="1"/>
  <c r="AM43" i="1"/>
  <c r="J44" i="1"/>
  <c r="I44" i="1"/>
  <c r="L44" i="1"/>
  <c r="O44" i="1"/>
  <c r="Z44" i="1"/>
  <c r="AA44" i="1"/>
  <c r="AB44" i="1"/>
  <c r="AE44" i="1"/>
  <c r="H44" i="1"/>
  <c r="AF44" i="1"/>
  <c r="AN44" i="1"/>
  <c r="J45" i="1"/>
  <c r="L45" i="1"/>
  <c r="O45" i="1"/>
  <c r="Z45" i="1"/>
  <c r="AA45" i="1"/>
  <c r="AB45" i="1"/>
  <c r="AE45" i="1"/>
  <c r="H45" i="1"/>
  <c r="AF45" i="1"/>
  <c r="AM45" i="1"/>
  <c r="AN45" i="1"/>
  <c r="L46" i="1"/>
  <c r="T46" i="1"/>
  <c r="V46" i="1"/>
  <c r="X46" i="1"/>
  <c r="J47" i="1"/>
  <c r="AB47" i="1"/>
  <c r="L47" i="1"/>
  <c r="O47" i="1"/>
  <c r="Z47" i="1"/>
  <c r="AA47" i="1"/>
  <c r="AE47" i="1"/>
  <c r="H47" i="1"/>
  <c r="AF47" i="1"/>
  <c r="AN47" i="1"/>
  <c r="AM47" i="1"/>
  <c r="J48" i="1"/>
  <c r="AB48" i="1"/>
  <c r="L48" i="1"/>
  <c r="O48" i="1"/>
  <c r="Z48" i="1"/>
  <c r="AA48" i="1"/>
  <c r="AE48" i="1"/>
  <c r="H48" i="1"/>
  <c r="I48" i="1"/>
  <c r="AF48" i="1"/>
  <c r="AN48" i="1"/>
  <c r="AM48" i="1"/>
  <c r="J49" i="1"/>
  <c r="L49" i="1"/>
  <c r="O49" i="1"/>
  <c r="Z49" i="1"/>
  <c r="AA49" i="1"/>
  <c r="AB49" i="1"/>
  <c r="AE49" i="1"/>
  <c r="H49" i="1"/>
  <c r="I49" i="1"/>
  <c r="AF49" i="1"/>
  <c r="AN49" i="1"/>
  <c r="AM49" i="1"/>
  <c r="J51" i="1"/>
  <c r="L51" i="1"/>
  <c r="O51" i="1"/>
  <c r="Z51" i="1"/>
  <c r="AA51" i="1"/>
  <c r="AE51" i="1"/>
  <c r="AM51" i="1"/>
  <c r="AF51" i="1"/>
  <c r="AN51" i="1"/>
  <c r="L52" i="1"/>
  <c r="T52" i="1"/>
  <c r="V52" i="1"/>
  <c r="X52" i="1"/>
  <c r="J53" i="1"/>
  <c r="AB53" i="1"/>
  <c r="AK52" i="1"/>
  <c r="L53" i="1"/>
  <c r="O53" i="1"/>
  <c r="P52" i="1"/>
  <c r="Z53" i="1"/>
  <c r="AI52" i="1"/>
  <c r="AA53" i="1"/>
  <c r="AJ52" i="1"/>
  <c r="AE53" i="1"/>
  <c r="H53" i="1"/>
  <c r="H52" i="1"/>
  <c r="AF53" i="1"/>
  <c r="AN53" i="1"/>
  <c r="AM53" i="1"/>
  <c r="L54" i="1"/>
  <c r="P54" i="1"/>
  <c r="T54" i="1"/>
  <c r="V54" i="1"/>
  <c r="X54" i="1"/>
  <c r="J55" i="1"/>
  <c r="AB55" i="1"/>
  <c r="AK54" i="1"/>
  <c r="L55" i="1"/>
  <c r="O55" i="1"/>
  <c r="Z55" i="1"/>
  <c r="AI54" i="1"/>
  <c r="AA55" i="1"/>
  <c r="AJ54" i="1"/>
  <c r="AE55" i="1"/>
  <c r="H55" i="1"/>
  <c r="H54" i="1"/>
  <c r="AF55" i="1"/>
  <c r="AN55" i="1"/>
  <c r="AM55" i="1"/>
  <c r="L56" i="1"/>
  <c r="T56" i="1"/>
  <c r="V56" i="1"/>
  <c r="X56" i="1"/>
  <c r="J57" i="1"/>
  <c r="AB57" i="1"/>
  <c r="L57" i="1"/>
  <c r="O57" i="1"/>
  <c r="Z57" i="1"/>
  <c r="AA57" i="1"/>
  <c r="AE57" i="1"/>
  <c r="H57" i="1"/>
  <c r="AF57" i="1"/>
  <c r="AN57" i="1"/>
  <c r="AM57" i="1"/>
  <c r="J58" i="1"/>
  <c r="L58" i="1"/>
  <c r="O58" i="1"/>
  <c r="Z58" i="1"/>
  <c r="AA58" i="1"/>
  <c r="AB58" i="1"/>
  <c r="AE58" i="1"/>
  <c r="H58" i="1"/>
  <c r="AF58" i="1"/>
  <c r="AN58" i="1"/>
  <c r="J59" i="1"/>
  <c r="L59" i="1"/>
  <c r="O59" i="1"/>
  <c r="Z59" i="1"/>
  <c r="AA59" i="1"/>
  <c r="AB59" i="1"/>
  <c r="AE59" i="1"/>
  <c r="H59" i="1"/>
  <c r="AF59" i="1"/>
  <c r="AM59" i="1"/>
  <c r="AN59" i="1"/>
  <c r="J60" i="1"/>
  <c r="L60" i="1"/>
  <c r="O60" i="1"/>
  <c r="Z60" i="1"/>
  <c r="AA60" i="1"/>
  <c r="AB60" i="1"/>
  <c r="AE60" i="1"/>
  <c r="AM60" i="1"/>
  <c r="AF60" i="1"/>
  <c r="AN60" i="1"/>
  <c r="J61" i="1"/>
  <c r="L61" i="1"/>
  <c r="O61" i="1"/>
  <c r="Z61" i="1"/>
  <c r="AA61" i="1"/>
  <c r="AB61" i="1"/>
  <c r="AE61" i="1"/>
  <c r="AM61" i="1"/>
  <c r="AF61" i="1"/>
  <c r="AN61" i="1"/>
  <c r="J62" i="1"/>
  <c r="L62" i="1"/>
  <c r="O62" i="1"/>
  <c r="Z62" i="1"/>
  <c r="AA62" i="1"/>
  <c r="AB62" i="1"/>
  <c r="AE62" i="1"/>
  <c r="AM62" i="1"/>
  <c r="AF62" i="1"/>
  <c r="AN62" i="1"/>
  <c r="J63" i="1"/>
  <c r="L63" i="1"/>
  <c r="O63" i="1"/>
  <c r="Z63" i="1"/>
  <c r="AA63" i="1"/>
  <c r="AB63" i="1"/>
  <c r="AE63" i="1"/>
  <c r="H63" i="1"/>
  <c r="I63" i="1"/>
  <c r="AF63" i="1"/>
  <c r="AN63" i="1"/>
  <c r="AM63" i="1"/>
  <c r="J64" i="1"/>
  <c r="L64" i="1"/>
  <c r="O64" i="1"/>
  <c r="Z64" i="1"/>
  <c r="AA64" i="1"/>
  <c r="AE64" i="1"/>
  <c r="AM64" i="1"/>
  <c r="AF64" i="1"/>
  <c r="AN64" i="1"/>
  <c r="J65" i="1"/>
  <c r="L65" i="1"/>
  <c r="O65" i="1"/>
  <c r="Z65" i="1"/>
  <c r="AA65" i="1"/>
  <c r="AB65" i="1"/>
  <c r="AE65" i="1"/>
  <c r="H65" i="1"/>
  <c r="I65" i="1"/>
  <c r="AF65" i="1"/>
  <c r="AN65" i="1"/>
  <c r="AM65" i="1"/>
  <c r="L66" i="1"/>
  <c r="P66" i="1"/>
  <c r="T66" i="1"/>
  <c r="V66" i="1"/>
  <c r="X66" i="1"/>
  <c r="J67" i="1"/>
  <c r="AB67" i="1"/>
  <c r="AK66" i="1"/>
  <c r="L67" i="1"/>
  <c r="O67" i="1"/>
  <c r="Z67" i="1"/>
  <c r="AI66" i="1"/>
  <c r="AA67" i="1"/>
  <c r="AJ66" i="1"/>
  <c r="AE67" i="1"/>
  <c r="H67" i="1"/>
  <c r="AF67" i="1"/>
  <c r="AN67" i="1"/>
  <c r="AM67" i="1"/>
  <c r="L68" i="1"/>
  <c r="T68" i="1"/>
  <c r="V68" i="1"/>
  <c r="X68" i="1"/>
  <c r="J69" i="1"/>
  <c r="L69" i="1"/>
  <c r="O69" i="1"/>
  <c r="P68" i="1"/>
  <c r="Z69" i="1"/>
  <c r="AI68" i="1"/>
  <c r="AA69" i="1"/>
  <c r="AJ68" i="1"/>
  <c r="AB69" i="1"/>
  <c r="AK68" i="1"/>
  <c r="AE69" i="1"/>
  <c r="AM69" i="1"/>
  <c r="AF69" i="1"/>
  <c r="AN69" i="1"/>
  <c r="L70" i="1"/>
  <c r="T70" i="1"/>
  <c r="V70" i="1"/>
  <c r="X70" i="1"/>
  <c r="J71" i="1"/>
  <c r="L71" i="1"/>
  <c r="O71" i="1"/>
  <c r="P70" i="1"/>
  <c r="Z71" i="1"/>
  <c r="AI70" i="1"/>
  <c r="AA71" i="1"/>
  <c r="AJ70" i="1"/>
  <c r="AB71" i="1"/>
  <c r="AK70" i="1"/>
  <c r="AE71" i="1"/>
  <c r="H71" i="1"/>
  <c r="H70" i="1"/>
  <c r="AF71" i="1"/>
  <c r="AM71" i="1"/>
  <c r="AN71" i="1"/>
  <c r="L72" i="1"/>
  <c r="T72" i="1"/>
  <c r="V72" i="1"/>
  <c r="X72" i="1"/>
  <c r="J73" i="1"/>
  <c r="AB73" i="1"/>
  <c r="AK72" i="1"/>
  <c r="L73" i="1"/>
  <c r="Z73" i="1"/>
  <c r="AI72" i="1"/>
  <c r="AA73" i="1"/>
  <c r="AJ72" i="1"/>
  <c r="AE73" i="1"/>
  <c r="AM73" i="1"/>
  <c r="AF73" i="1"/>
  <c r="AN73" i="1"/>
  <c r="L74" i="1"/>
  <c r="T74" i="1"/>
  <c r="V74" i="1"/>
  <c r="X74" i="1"/>
  <c r="J75" i="1"/>
  <c r="L75" i="1"/>
  <c r="Z75" i="1"/>
  <c r="AA75" i="1"/>
  <c r="AB75" i="1"/>
  <c r="AE75" i="1"/>
  <c r="H75" i="1"/>
  <c r="AF75" i="1"/>
  <c r="AM75" i="1"/>
  <c r="AN75" i="1"/>
  <c r="J76" i="1"/>
  <c r="L76" i="1"/>
  <c r="Z76" i="1"/>
  <c r="AA76" i="1"/>
  <c r="AB76" i="1"/>
  <c r="AE76" i="1"/>
  <c r="AM76" i="1"/>
  <c r="AF76" i="1"/>
  <c r="AN76" i="1"/>
  <c r="J77" i="1"/>
  <c r="AB77" i="1"/>
  <c r="L77" i="1"/>
  <c r="Z77" i="1"/>
  <c r="AA77" i="1"/>
  <c r="AE77" i="1"/>
  <c r="H77" i="1"/>
  <c r="I77" i="1"/>
  <c r="O77" i="1"/>
  <c r="AF77" i="1"/>
  <c r="AN77" i="1"/>
  <c r="AM77" i="1"/>
  <c r="J78" i="1"/>
  <c r="L78" i="1"/>
  <c r="Z78" i="1"/>
  <c r="AA78" i="1"/>
  <c r="AB78" i="1"/>
  <c r="AE78" i="1"/>
  <c r="H78" i="1"/>
  <c r="AF78" i="1"/>
  <c r="AN78" i="1"/>
  <c r="J79" i="1"/>
  <c r="I79" i="1"/>
  <c r="O79" i="1"/>
  <c r="L79" i="1"/>
  <c r="Z79" i="1"/>
  <c r="AA79" i="1"/>
  <c r="AB79" i="1"/>
  <c r="AE79" i="1"/>
  <c r="H79" i="1"/>
  <c r="AF79" i="1"/>
  <c r="AN79" i="1"/>
  <c r="AM79" i="1"/>
  <c r="I78" i="1"/>
  <c r="O78" i="1"/>
  <c r="AM78" i="1"/>
  <c r="H76" i="1"/>
  <c r="I76" i="1"/>
  <c r="O76" i="1"/>
  <c r="AI74" i="1"/>
  <c r="H74" i="1"/>
  <c r="AK74" i="1"/>
  <c r="AJ74" i="1"/>
  <c r="R74" i="1"/>
  <c r="I75" i="1"/>
  <c r="H73" i="1"/>
  <c r="I71" i="1"/>
  <c r="I70" i="1"/>
  <c r="J70" i="1"/>
  <c r="R70" i="1"/>
  <c r="H69" i="1"/>
  <c r="H68" i="1"/>
  <c r="H66" i="1"/>
  <c r="I67" i="1"/>
  <c r="I66" i="1"/>
  <c r="H64" i="1"/>
  <c r="I64" i="1"/>
  <c r="AB64" i="1"/>
  <c r="AK56" i="1"/>
  <c r="H62" i="1"/>
  <c r="I62" i="1"/>
  <c r="H61" i="1"/>
  <c r="I61" i="1"/>
  <c r="H60" i="1"/>
  <c r="I60" i="1"/>
  <c r="I59" i="1"/>
  <c r="AI56" i="1"/>
  <c r="P56" i="1"/>
  <c r="I58" i="1"/>
  <c r="AM58" i="1"/>
  <c r="AJ56" i="1"/>
  <c r="H56" i="1"/>
  <c r="I57" i="1"/>
  <c r="R54" i="1"/>
  <c r="I55" i="1"/>
  <c r="I54" i="1"/>
  <c r="R52" i="1"/>
  <c r="I53" i="1"/>
  <c r="I52" i="1"/>
  <c r="H51" i="1"/>
  <c r="I51" i="1"/>
  <c r="AB51" i="1"/>
  <c r="AK46" i="1"/>
  <c r="AJ46" i="1"/>
  <c r="H46" i="1"/>
  <c r="AI46" i="1"/>
  <c r="P46" i="1"/>
  <c r="R46" i="1"/>
  <c r="I47" i="1"/>
  <c r="I45" i="1"/>
  <c r="P42" i="1"/>
  <c r="AM44" i="1"/>
  <c r="AJ42" i="1"/>
  <c r="AK42" i="1"/>
  <c r="I43" i="1"/>
  <c r="I42" i="1"/>
  <c r="H42" i="1"/>
  <c r="H41" i="1"/>
  <c r="H40" i="1"/>
  <c r="AB41" i="1"/>
  <c r="AK40" i="1"/>
  <c r="I38" i="1"/>
  <c r="I37" i="1"/>
  <c r="H37" i="1"/>
  <c r="R35" i="1"/>
  <c r="I36" i="1"/>
  <c r="I35" i="1"/>
  <c r="AB36" i="1"/>
  <c r="AK35" i="1"/>
  <c r="Z80" i="1"/>
  <c r="AM36" i="1"/>
  <c r="AM34" i="1"/>
  <c r="AJ32" i="1"/>
  <c r="AK32" i="1"/>
  <c r="H32" i="1"/>
  <c r="I33" i="1"/>
  <c r="I32" i="1"/>
  <c r="AI32" i="1"/>
  <c r="H31" i="1"/>
  <c r="I31" i="1"/>
  <c r="AK29" i="1"/>
  <c r="AJ29" i="1"/>
  <c r="P29" i="1"/>
  <c r="AI29" i="1"/>
  <c r="I30" i="1"/>
  <c r="I29" i="1"/>
  <c r="I28" i="1"/>
  <c r="P24" i="1"/>
  <c r="AJ24" i="1"/>
  <c r="H25" i="1"/>
  <c r="H24" i="1"/>
  <c r="AB25" i="1"/>
  <c r="AK24" i="1"/>
  <c r="R22" i="1"/>
  <c r="S20" i="1"/>
  <c r="W20" i="1"/>
  <c r="U20" i="1"/>
  <c r="I23" i="1"/>
  <c r="I22" i="1"/>
  <c r="J20" i="1"/>
  <c r="AA80" i="1"/>
  <c r="I19" i="1"/>
  <c r="H19" i="1"/>
  <c r="H18" i="1"/>
  <c r="I18" i="1"/>
  <c r="H17" i="1"/>
  <c r="I17" i="1"/>
  <c r="H16" i="1"/>
  <c r="I16" i="1"/>
  <c r="H15" i="1"/>
  <c r="C16" i="3"/>
  <c r="AB19" i="1"/>
  <c r="AB18" i="1"/>
  <c r="AB17" i="1"/>
  <c r="AB16" i="1"/>
  <c r="AB15" i="1"/>
  <c r="AK14" i="1"/>
  <c r="C28" i="3"/>
  <c r="F28" i="3"/>
  <c r="C20" i="3"/>
  <c r="C18" i="3"/>
  <c r="I13" i="1"/>
  <c r="I12" i="1"/>
  <c r="J12" i="1"/>
  <c r="R12" i="1"/>
  <c r="C27" i="3"/>
  <c r="AJ12" i="1"/>
  <c r="O75" i="1"/>
  <c r="P74" i="1"/>
  <c r="I74" i="1"/>
  <c r="H72" i="1"/>
  <c r="I73" i="1"/>
  <c r="W70" i="1"/>
  <c r="U70" i="1"/>
  <c r="S70" i="1"/>
  <c r="R68" i="1"/>
  <c r="I69" i="1"/>
  <c r="I68" i="1"/>
  <c r="U66" i="1"/>
  <c r="S66" i="1"/>
  <c r="W66" i="1"/>
  <c r="R66" i="1"/>
  <c r="J66" i="1"/>
  <c r="I56" i="1"/>
  <c r="J56" i="1"/>
  <c r="R56" i="1"/>
  <c r="W56" i="1"/>
  <c r="U56" i="1"/>
  <c r="S54" i="1"/>
  <c r="W54" i="1"/>
  <c r="U54" i="1"/>
  <c r="J54" i="1"/>
  <c r="S52" i="1"/>
  <c r="W52" i="1"/>
  <c r="U52" i="1"/>
  <c r="J52" i="1"/>
  <c r="I46" i="1"/>
  <c r="S46" i="1"/>
  <c r="W46" i="1"/>
  <c r="U46" i="1"/>
  <c r="J46" i="1"/>
  <c r="R42" i="1"/>
  <c r="J42" i="1"/>
  <c r="U42" i="1"/>
  <c r="S42" i="1"/>
  <c r="W42" i="1"/>
  <c r="I41" i="1"/>
  <c r="I40" i="1"/>
  <c r="R40" i="1"/>
  <c r="J40" i="1"/>
  <c r="R37" i="1"/>
  <c r="J37" i="1"/>
  <c r="U37" i="1"/>
  <c r="S37" i="1"/>
  <c r="W37" i="1"/>
  <c r="U35" i="1"/>
  <c r="S35" i="1"/>
  <c r="W35" i="1"/>
  <c r="J35" i="1"/>
  <c r="S32" i="1"/>
  <c r="W32" i="1"/>
  <c r="U32" i="1"/>
  <c r="R32" i="1"/>
  <c r="J32" i="1"/>
  <c r="H29" i="1"/>
  <c r="R29" i="1"/>
  <c r="S29" i="1"/>
  <c r="U29" i="1"/>
  <c r="W29" i="1"/>
  <c r="J29" i="1"/>
  <c r="R24" i="1"/>
  <c r="I25" i="1"/>
  <c r="I24" i="1"/>
  <c r="S22" i="1"/>
  <c r="W22" i="1"/>
  <c r="U22" i="1"/>
  <c r="J22" i="1"/>
  <c r="C29" i="3"/>
  <c r="F29" i="3"/>
  <c r="AB80" i="1"/>
  <c r="H14" i="1"/>
  <c r="I15" i="1"/>
  <c r="I14" i="1"/>
  <c r="S12" i="1"/>
  <c r="W12" i="1"/>
  <c r="U12" i="1"/>
  <c r="S74" i="1"/>
  <c r="U74" i="1"/>
  <c r="W74" i="1"/>
  <c r="J74" i="1"/>
  <c r="I72" i="1"/>
  <c r="O73" i="1"/>
  <c r="P72" i="1"/>
  <c r="C21" i="3"/>
  <c r="R72" i="1"/>
  <c r="J72" i="1"/>
  <c r="U68" i="1"/>
  <c r="S68" i="1"/>
  <c r="W68" i="1"/>
  <c r="J68" i="1"/>
  <c r="S56" i="1"/>
  <c r="U40" i="1"/>
  <c r="S40" i="1"/>
  <c r="W40" i="1"/>
  <c r="U24" i="1"/>
  <c r="S24" i="1"/>
  <c r="W24" i="1"/>
  <c r="J24" i="1"/>
  <c r="I28" i="3"/>
  <c r="I29" i="3"/>
  <c r="R14" i="1"/>
  <c r="C14" i="3"/>
  <c r="J14" i="1"/>
  <c r="U14" i="1"/>
  <c r="S14" i="1"/>
  <c r="W14" i="1"/>
  <c r="U72" i="1"/>
  <c r="C17" i="3"/>
  <c r="S72" i="1"/>
  <c r="C15" i="3"/>
  <c r="W72" i="1"/>
  <c r="J80" i="1"/>
  <c r="C19" i="3"/>
  <c r="C22" i="3"/>
</calcChain>
</file>

<file path=xl/sharedStrings.xml><?xml version="1.0" encoding="utf-8"?>
<sst xmlns="http://schemas.openxmlformats.org/spreadsheetml/2006/main" count="749" uniqueCount="294">
  <si>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</si>
  <si>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</si>
  <si>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</si>
  <si>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</si>
  <si>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</si>
  <si>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</si>
  <si>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</si>
  <si>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</si>
  <si>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</si>
  <si>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</si>
  <si>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</si>
  <si>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</si>
  <si>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</si>
  <si>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</si>
  <si>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</si>
  <si>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</si>
  <si>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</si>
  <si>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</si>
  <si>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</si>
  <si>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</si>
  <si>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</si>
  <si>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</si>
  <si>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</si>
  <si>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</si>
  <si>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</si>
  <si>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</si>
  <si>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</si>
  <si>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</si>
  <si>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</si>
  <si>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</si>
  <si>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</si>
  <si>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</si>
  <si>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</si>
  <si>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</si>
  <si>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</si>
  <si>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</si>
  <si>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</si>
  <si>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</si>
  <si>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</si>
  <si>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</si>
  <si>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</si>
  <si>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</si>
  <si>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</si>
  <si>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</si>
  <si>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</si>
  <si>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</si>
  <si>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</si>
  <si>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</si>
  <si>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</si>
  <si>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</si>
  <si>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</si>
  <si>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</si>
  <si>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Poznámka:</t>
  </si>
  <si>
    <t>Objekt</t>
  </si>
  <si>
    <t>Kód</t>
  </si>
  <si>
    <t>0</t>
  </si>
  <si>
    <t>078889117R00</t>
  </si>
  <si>
    <t>113107325R00</t>
  </si>
  <si>
    <t>113151115R00</t>
  </si>
  <si>
    <t>112100012RA0</t>
  </si>
  <si>
    <t>112100103RA0</t>
  </si>
  <si>
    <t>111200001RA0</t>
  </si>
  <si>
    <t>122201101R00</t>
  </si>
  <si>
    <t>132201110R00</t>
  </si>
  <si>
    <t>167101102R00</t>
  </si>
  <si>
    <t>162701105RT3</t>
  </si>
  <si>
    <t>162701109R00</t>
  </si>
  <si>
    <t>174101101R00</t>
  </si>
  <si>
    <t>171206111R00</t>
  </si>
  <si>
    <t>181101102R00</t>
  </si>
  <si>
    <t>181102302R00</t>
  </si>
  <si>
    <t>271531111R00</t>
  </si>
  <si>
    <t>327216115RT2</t>
  </si>
  <si>
    <t>348942122R00</t>
  </si>
  <si>
    <t>56</t>
  </si>
  <si>
    <t>564782111R00</t>
  </si>
  <si>
    <t>564841111R00</t>
  </si>
  <si>
    <t>569621112R00</t>
  </si>
  <si>
    <t>57</t>
  </si>
  <si>
    <t>571902111R00</t>
  </si>
  <si>
    <t>577113115R00</t>
  </si>
  <si>
    <t>577112115RT2</t>
  </si>
  <si>
    <t>573111111R00</t>
  </si>
  <si>
    <t>59</t>
  </si>
  <si>
    <t>597081120R00</t>
  </si>
  <si>
    <t>61</t>
  </si>
  <si>
    <t>614471713R00</t>
  </si>
  <si>
    <t>91</t>
  </si>
  <si>
    <t>919443111R00</t>
  </si>
  <si>
    <t>919511211R00</t>
  </si>
  <si>
    <t>919441221R00</t>
  </si>
  <si>
    <t>919735112R00</t>
  </si>
  <si>
    <t>914992001R00</t>
  </si>
  <si>
    <t>919411111R00</t>
  </si>
  <si>
    <t>919571111R00</t>
  </si>
  <si>
    <t>919511311R00</t>
  </si>
  <si>
    <t>919536111R00</t>
  </si>
  <si>
    <t>93</t>
  </si>
  <si>
    <t>938902102R00</t>
  </si>
  <si>
    <t>94</t>
  </si>
  <si>
    <t>945951111R00</t>
  </si>
  <si>
    <t>96</t>
  </si>
  <si>
    <t>966008112R00</t>
  </si>
  <si>
    <t>H22</t>
  </si>
  <si>
    <t>998225111R00</t>
  </si>
  <si>
    <t>S</t>
  </si>
  <si>
    <t>979081111R00</t>
  </si>
  <si>
    <t>979081121R00</t>
  </si>
  <si>
    <t>979082111R00</t>
  </si>
  <si>
    <t>979087112R00</t>
  </si>
  <si>
    <t>979990001R00</t>
  </si>
  <si>
    <t>Pasport komunikace - Nový svět, Kryštofovy Hamry</t>
  </si>
  <si>
    <t>Oprava a údržba</t>
  </si>
  <si>
    <t>p.p.č. 17, 15/3, 25/2, 21/5, 29/1, 310, 238/3, 42/1, 43/4, 43/1, k.ú. Kryštofovy Hamry</t>
  </si>
  <si>
    <t>Zkrácený popis / Varianta</t>
  </si>
  <si>
    <t>Rozměry</t>
  </si>
  <si>
    <t>Všeobecné konstrukce a práce</t>
  </si>
  <si>
    <t>Provedení nátěru při opravách, zábradlí</t>
  </si>
  <si>
    <t>Přípravné a přidružené práce</t>
  </si>
  <si>
    <t>Odstranění podkladu pl. 50 m2,kam.těžené tl.25 cm</t>
  </si>
  <si>
    <t>Fréz.živič krytu pl.do 500 m2,pruh do 75 cm,tl.6cm</t>
  </si>
  <si>
    <t>Kácení stromů 40-50 cm, naložení a odvoz do 1 km</t>
  </si>
  <si>
    <t>Odstranění pařezů 40-50 cm,odklizení,úprava terénu</t>
  </si>
  <si>
    <t>Odstranění křovin a stromů do 100 mm, spálení</t>
  </si>
  <si>
    <t>Odkopávky a prokopávky</t>
  </si>
  <si>
    <t>Odkopávky nezapažené v hor. 3 do 100 m3</t>
  </si>
  <si>
    <t>Hloubené vykopávky</t>
  </si>
  <si>
    <t>Hloubení rýh š.do 60 cm v hor.3 do 50 m3, STROJNĚ</t>
  </si>
  <si>
    <t>Přemístění výkopku</t>
  </si>
  <si>
    <t>Nakládání výkopku z hor.1-4 v množství nad 100 m3</t>
  </si>
  <si>
    <t>Vodorovné přemístění výkopku z hor.1-4 do 10000 m</t>
  </si>
  <si>
    <t>nosnost 12 t</t>
  </si>
  <si>
    <t>Příplatek k vod. přemístění hor.1-4 za další 1 km</t>
  </si>
  <si>
    <t>Konstrukce ze zemin</t>
  </si>
  <si>
    <t>Zásyp jam, rýh, šachet se zhutněním</t>
  </si>
  <si>
    <t>Úprava zemin na skládce</t>
  </si>
  <si>
    <t>Povrchové úpravy terénu</t>
  </si>
  <si>
    <t>Úprava pláně v zářezech v hor. 1-4, se zhutněním</t>
  </si>
  <si>
    <t>Úprava pláně dálnic v zářezech se zhutněním</t>
  </si>
  <si>
    <t>Základy</t>
  </si>
  <si>
    <t>Polštář základu z kameniva hr. drceného 16-63 mm</t>
  </si>
  <si>
    <t>Zdi přehradní a opěrné</t>
  </si>
  <si>
    <t>Opěr.zeď gabion.š.paty 1,2m,v3,0m,oko 100/50</t>
  </si>
  <si>
    <t>včetně dodávky lomového kamene</t>
  </si>
  <si>
    <t>Stěny a příčky</t>
  </si>
  <si>
    <t>Zábradlí ocel. s osazením do otvorů, ze 3 trubek</t>
  </si>
  <si>
    <t>Podkladní vrstvy komunikací, letišť a ploch</t>
  </si>
  <si>
    <t>Podklad z kam.drceného 32-63 s výplň.kamen. 30 cm</t>
  </si>
  <si>
    <t>Podklad ze štěrkodrti po zhutnění tloušťky 12 cm</t>
  </si>
  <si>
    <t>Zpevnění krajnic asfaltovým recyklátem tl. 6 cm</t>
  </si>
  <si>
    <t>Kryty štěrkových a živičných komunikací a ploch</t>
  </si>
  <si>
    <t>Očištění krytu komunikace včetně krajnic š. 0,5m</t>
  </si>
  <si>
    <t>Beton asfalt. ACO 16 S modif.obrus. š.do 3 m, 6 cm</t>
  </si>
  <si>
    <t>Beton asfalt. ACO 11 S modifik. š. do 3 m, tl.6 cm</t>
  </si>
  <si>
    <t>plochy 201-1000 m2</t>
  </si>
  <si>
    <t>Postřik živičný infiltr.+ posyp, asfalt. 0,60kg/m2</t>
  </si>
  <si>
    <t>Dlažby a předlažby pozemních komunikací a zpevněných ploch</t>
  </si>
  <si>
    <t>Svodnice ocelová Viaqua Forest 100</t>
  </si>
  <si>
    <t>Vyspravení beton. konstrukcí cem. maltou tl. 30 mm</t>
  </si>
  <si>
    <t>Doplňující konstrukce a práce pozemních komunikací, letišť a ploch</t>
  </si>
  <si>
    <t>Vtoková jímka z lom.kamene propustku DN do 80 cm</t>
  </si>
  <si>
    <t>Zřízení potrubního propustku z beton. trub DN 600</t>
  </si>
  <si>
    <t>Čelo propustku z lom. kamene z trub DN 60 - 80 cm</t>
  </si>
  <si>
    <t>Řezání stávajícího živičného krytu tl. 5 - 10 cm</t>
  </si>
  <si>
    <t>Nájem dopravní značky včetně stojanu</t>
  </si>
  <si>
    <t>Čelo propustku z bet.prostého z trub DN 30-50 cm</t>
  </si>
  <si>
    <t>Zřízení propustku z plastových trub do DN 300 mm</t>
  </si>
  <si>
    <t>Zřízení potrubního propustku z beton. trub DN 800</t>
  </si>
  <si>
    <t>Obetonování trub propustku bet.vodostav. C 25/30</t>
  </si>
  <si>
    <t>Různé dokončovací konstrukce a práce inženýrských staveb</t>
  </si>
  <si>
    <t>Čištění příkopů š. do 40 cm, objem do 0,30 m3/m</t>
  </si>
  <si>
    <t>Lešení a stavební výtahy</t>
  </si>
  <si>
    <t>Montáž zavěš. lešení vysutého na mostní konstrukci</t>
  </si>
  <si>
    <t>Bourání trubního propustku z trub DN do 50 cm</t>
  </si>
  <si>
    <t>Komunikace pozemní a letiště</t>
  </si>
  <si>
    <t>Přesun hmot, pozemní komunikace, kryt živičný</t>
  </si>
  <si>
    <t>Přesuny sutí</t>
  </si>
  <si>
    <t>Odvoz suti a vybour. hmot na skládku do 1 km</t>
  </si>
  <si>
    <t>Příplatek k odvozu za každý další 1 km (16km)</t>
  </si>
  <si>
    <t>Vnitrostaveništní doprava suti do 10 m</t>
  </si>
  <si>
    <t>Nakládání suti na dopravní prostředky</t>
  </si>
  <si>
    <t>Poplatek za skládku stavební suti</t>
  </si>
  <si>
    <t>Doba výstavby:</t>
  </si>
  <si>
    <t>Začátek výstavby:</t>
  </si>
  <si>
    <t>Konec výstavby:</t>
  </si>
  <si>
    <t>Zpracováno dne:</t>
  </si>
  <si>
    <t>M.j.</t>
  </si>
  <si>
    <t>m</t>
  </si>
  <si>
    <t>m2</t>
  </si>
  <si>
    <t>kus</t>
  </si>
  <si>
    <t>m3</t>
  </si>
  <si>
    <t>t</t>
  </si>
  <si>
    <t>Množství</t>
  </si>
  <si>
    <t>Jednot.</t>
  </si>
  <si>
    <t>cena 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</si>
  <si>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</si>
  <si>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</si>
  <si>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</si>
  <si>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</si>
  <si>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</si>
  <si>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</si>
  <si>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</si>
  <si>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</si>
  <si>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Obec Kryštofovy Hamry</t>
  </si>
  <si>
    <t>Celkem</t>
  </si>
  <si>
    <t>Hmotnost (t)</t>
  </si>
  <si>
    <t>Cenová</t>
  </si>
  <si>
    <t>soustava</t>
  </si>
  <si>
    <t>Přesuny</t>
  </si>
  <si>
    <t>Typ skupiny</t>
  </si>
  <si>
    <t>HS</t>
  </si>
  <si>
    <t>HSV mat</t>
  </si>
  <si>
    <t>HSV prac</t>
  </si>
  <si>
    <t>PSV mat</t>
  </si>
  <si>
    <t>PSV prac</t>
  </si>
  <si>
    <t>Mont mat</t>
  </si>
  <si>
    <t>Mont prac</t>
  </si>
  <si>
    <t>Ostatní mat.</t>
  </si>
  <si>
    <t>0_</t>
  </si>
  <si>
    <t>11_</t>
  </si>
  <si>
    <t>12_</t>
  </si>
  <si>
    <t>13_</t>
  </si>
  <si>
    <t>16_</t>
  </si>
  <si>
    <t>17_</t>
  </si>
  <si>
    <t>18_</t>
  </si>
  <si>
    <t>27_</t>
  </si>
  <si>
    <t>32_</t>
  </si>
  <si>
    <t>34_</t>
  </si>
  <si>
    <t>56_</t>
  </si>
  <si>
    <t>57_</t>
  </si>
  <si>
    <t>59_</t>
  </si>
  <si>
    <t>61_</t>
  </si>
  <si>
    <t>91_</t>
  </si>
  <si>
    <t>93_</t>
  </si>
  <si>
    <t>94_</t>
  </si>
  <si>
    <t>96_</t>
  </si>
  <si>
    <t>H22_</t>
  </si>
  <si>
    <t>S_</t>
  </si>
  <si>
    <t>1_</t>
  </si>
  <si>
    <t>2_</t>
  </si>
  <si>
    <t>3_</t>
  </si>
  <si>
    <t>5_</t>
  </si>
  <si>
    <t>6_</t>
  </si>
  <si>
    <t>9_</t>
  </si>
  <si>
    <t>_</t>
  </si>
  <si>
    <t>Výkaz výměr</t>
  </si>
  <si>
    <t>Cenová soustava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</si>
  <si>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</si>
  <si>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</si>
  <si>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</si>
  <si>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</si>
  <si>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</si>
  <si>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</si>
  <si>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</si>
  <si>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</si>
  <si>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</si>
  <si>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</si>
  <si>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</si>
  <si>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</si>
  <si>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</si>
  <si>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</si>
  <si>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</si>
  <si>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</si>
  <si>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</si>
  <si>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</si>
  <si>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</si>
  <si>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</si>
  <si>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Projektová dokument.</t>
  </si>
  <si>
    <t>Inženýrská činnost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</si>
  <si>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</si>
  <si>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</si>
  <si>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</si>
  <si>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</si>
  <si>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</si>
  <si>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</si>
  <si>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</si>
  <si>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</si>
  <si>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</si>
  <si>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</si>
  <si>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</si>
  <si>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</si>
  <si>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</si>
  <si>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</si>
  <si>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</si>
  <si>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</si>
  <si>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</si>
  <si>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</si>
  <si>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</si>
  <si>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</si>
  <si>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</si>
  <si>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</si>
  <si>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</si>
  <si>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</si>
  <si>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00075566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</si>
</sst>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sz val="10"/>
      <color indexed="59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  <font>
      <sz val="24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7" fillId="2" borderId="3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right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" fontId="7" fillId="2" borderId="3" xfId="0" applyNumberFormat="1" applyFont="1" applyFill="1" applyBorder="1" applyAlignment="1" applyProtection="1">
      <alignment horizontal="right" vertical="center"/>
    </xf>
    <xf numFmtId="4" fontId="7" fillId="2" borderId="0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10" fillId="3" borderId="20" xfId="0" applyNumberFormat="1" applyFont="1" applyFill="1" applyBorder="1" applyAlignment="1" applyProtection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/>
    </xf>
    <xf numFmtId="49" fontId="11" fillId="0" borderId="22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49" fontId="12" fillId="0" borderId="20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49" fontId="12" fillId="0" borderId="20" xfId="0" applyNumberFormat="1" applyFont="1" applyFill="1" applyBorder="1" applyAlignment="1" applyProtection="1">
      <alignment horizontal="right" vertical="center"/>
    </xf>
    <xf numFmtId="4" fontId="12" fillId="0" borderId="11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4" fontId="11" fillId="3" borderId="28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3" fillId="0" borderId="33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41" xfId="0" applyNumberFormat="1" applyFont="1" applyFill="1" applyBorder="1" applyAlignment="1" applyProtection="1">
      <alignment horizontal="left" vertical="center"/>
    </xf>
    <xf numFmtId="49" fontId="12" fillId="0" borderId="42" xfId="0" applyNumberFormat="1" applyFont="1" applyFill="1" applyBorder="1" applyAlignment="1" applyProtection="1">
      <alignment horizontal="left" vertical="center"/>
    </xf>
    <xf numFmtId="0" fontId="12" fillId="0" borderId="31" xfId="0" applyNumberFormat="1" applyFont="1" applyFill="1" applyBorder="1" applyAlignment="1" applyProtection="1">
      <alignment horizontal="left" vertical="center"/>
    </xf>
    <xf numFmtId="0" fontId="12" fillId="0" borderId="43" xfId="0" applyNumberFormat="1" applyFont="1" applyFill="1" applyBorder="1" applyAlignment="1" applyProtection="1">
      <alignment horizontal="left" vertical="center"/>
    </xf>
    <xf numFmtId="49" fontId="11" fillId="3" borderId="38" xfId="0" applyNumberFormat="1" applyFont="1" applyFill="1" applyBorder="1" applyAlignment="1" applyProtection="1">
      <alignment horizontal="left" vertical="center"/>
    </xf>
    <xf numFmtId="0" fontId="11" fillId="3" borderId="37" xfId="0" applyNumberFormat="1" applyFont="1" applyFill="1" applyBorder="1" applyAlignment="1" applyProtection="1">
      <alignment horizontal="left" vertical="center"/>
    </xf>
    <xf numFmtId="49" fontId="12" fillId="0" borderId="39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40" xfId="0" applyNumberFormat="1" applyFont="1" applyFill="1" applyBorder="1" applyAlignment="1" applyProtection="1">
      <alignment horizontal="left" vertical="center"/>
    </xf>
    <xf numFmtId="49" fontId="11" fillId="0" borderId="38" xfId="0" applyNumberFormat="1" applyFont="1" applyFill="1" applyBorder="1" applyAlignment="1" applyProtection="1">
      <alignment horizontal="left" vertical="center"/>
    </xf>
    <xf numFmtId="0" fontId="11" fillId="0" borderId="28" xfId="0" applyNumberFormat="1" applyFont="1" applyFill="1" applyBorder="1" applyAlignment="1" applyProtection="1">
      <alignment horizontal="left" vertical="center"/>
    </xf>
    <xf numFmtId="49" fontId="12" fillId="0" borderId="38" xfId="0" applyNumberFormat="1" applyFont="1" applyFill="1" applyBorder="1" applyAlignment="1" applyProtection="1">
      <alignment horizontal="left" vertical="center"/>
    </xf>
    <xf numFmtId="0" fontId="12" fillId="0" borderId="28" xfId="0" applyNumberFormat="1" applyFont="1" applyFill="1" applyBorder="1" applyAlignment="1" applyProtection="1">
      <alignment horizontal="left" vertical="center"/>
    </xf>
    <xf numFmtId="49" fontId="9" fillId="0" borderId="37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49" fontId="13" fillId="0" borderId="38" xfId="0" applyNumberFormat="1" applyFont="1" applyFill="1" applyBorder="1" applyAlignment="1" applyProtection="1">
      <alignment horizontal="left" vertical="center"/>
    </xf>
    <xf numFmtId="0" fontId="13" fillId="0" borderId="28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14" fontId="1" fillId="0" borderId="27" xfId="0" applyNumberFormat="1" applyFont="1" applyFill="1" applyBorder="1" applyAlignment="1" applyProtection="1">
      <alignment horizontal="left" vertical="center"/>
    </xf>
    <xf numFmtId="0" fontId="1" fillId="0" borderId="36" xfId="0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49" fontId="1" fillId="0" borderId="2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236220</xdr:colOff>
      <xdr:row>0</xdr:row>
      <xdr:rowOff>891540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1272428F-BC3A-4EBF-A3CA-6722CD8A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012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297180</xdr:colOff>
      <xdr:row>0</xdr:row>
      <xdr:rowOff>891540</xdr:rowOff>
    </xdr:to>
    <xdr:pic>
      <xdr:nvPicPr>
        <xdr:cNvPr id="2051" name="Picture 1">
          <a:extLst>
            <a:ext uri="{FF2B5EF4-FFF2-40B4-BE49-F238E27FC236}">
              <a16:creationId xmlns:a16="http://schemas.microsoft.com/office/drawing/2014/main" id="{892BF986-415A-475B-9F73-BAC89CC4F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202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3075" name="Picture 1">
          <a:extLst>
            <a:ext uri="{FF2B5EF4-FFF2-40B4-BE49-F238E27FC236}">
              <a16:creationId xmlns:a16="http://schemas.microsoft.com/office/drawing/2014/main" id="{5CC083C9-EBB8-4990-A6EB-2DB3B8F8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"/>
  <sheetViews>
    <sheetView topLeftCell="A67" workbookViewId="0">
      <selection activeCell="AV11" sqref="AV11"/>
    </sheetView>
  </sheetViews>
  <sheetFormatPr defaultColWidth="11.5546875" defaultRowHeight="13.2" x14ac:dyDescent="0.25"/>
  <cols>
    <col min="1" max="1" width="3.6640625" customWidth="1"/>
    <col min="2" max="2" width="6.88671875" customWidth="1"/>
    <col min="3" max="3" width="13.33203125" customWidth="1"/>
    <col min="4" max="4" width="45.33203125" customWidth="1"/>
    <col min="5" max="5" width="4.33203125" customWidth="1"/>
    <col min="6" max="6" width="12.88671875" customWidth="1"/>
    <col min="7" max="7" width="12" customWidth="1"/>
    <col min="8" max="10" width="14.33203125" customWidth="1"/>
    <col min="11" max="13" width="11.6640625" customWidth="1"/>
    <col min="14" max="14" width="0" hidden="1" customWidth="1"/>
    <col min="15" max="47" width="12.109375" hidden="1" customWidth="1"/>
  </cols>
  <sheetData>
    <row r="1" spans="1:43" ht="73.05" customHeight="1" x14ac:dyDescent="0.4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43" x14ac:dyDescent="0.25">
      <c r="A2" s="82" t="s">
        <v>1</v>
      </c>
      <c r="B2" s="83"/>
      <c r="C2" s="83"/>
      <c r="D2" s="84" t="s">
        <v>111</v>
      </c>
      <c r="E2" s="86" t="s">
        <v>182</v>
      </c>
      <c r="F2" s="83"/>
      <c r="G2" s="86"/>
      <c r="H2" s="83"/>
      <c r="I2" s="87" t="s">
        <v>198</v>
      </c>
      <c r="J2" s="87" t="s">
        <v>203</v>
      </c>
      <c r="K2" s="83"/>
      <c r="L2" s="83"/>
      <c r="M2" s="88"/>
      <c r="N2" s="29"/>
    </row>
    <row r="3" spans="1:43" x14ac:dyDescent="0.25">
      <c r="A3" s="79"/>
      <c r="B3" s="66"/>
      <c r="C3" s="66"/>
      <c r="D3" s="85"/>
      <c r="E3" s="66"/>
      <c r="F3" s="66"/>
      <c r="G3" s="66"/>
      <c r="H3" s="66"/>
      <c r="I3" s="66"/>
      <c r="J3" s="66"/>
      <c r="K3" s="66"/>
      <c r="L3" s="66"/>
      <c r="M3" s="77"/>
      <c r="N3" s="29"/>
    </row>
    <row r="4" spans="1:43" x14ac:dyDescent="0.25">
      <c r="A4" s="72" t="s">
        <v>2</v>
      </c>
      <c r="B4" s="66"/>
      <c r="C4" s="66"/>
      <c r="D4" s="65" t="s">
        <v>112</v>
      </c>
      <c r="E4" s="75" t="s">
        <v>183</v>
      </c>
      <c r="F4" s="66"/>
      <c r="G4" s="75"/>
      <c r="H4" s="66"/>
      <c r="I4" s="65" t="s">
        <v>199</v>
      </c>
      <c r="J4" s="65"/>
      <c r="K4" s="66"/>
      <c r="L4" s="66"/>
      <c r="M4" s="77"/>
      <c r="N4" s="29"/>
    </row>
    <row r="5" spans="1:43" x14ac:dyDescent="0.25">
      <c r="A5" s="79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77"/>
      <c r="N5" s="29"/>
    </row>
    <row r="6" spans="1:43" x14ac:dyDescent="0.25">
      <c r="A6" s="72" t="s">
        <v>3</v>
      </c>
      <c r="B6" s="66"/>
      <c r="C6" s="66"/>
      <c r="D6" s="65" t="s">
        <v>113</v>
      </c>
      <c r="E6" s="75" t="s">
        <v>184</v>
      </c>
      <c r="F6" s="66"/>
      <c r="G6" s="76"/>
      <c r="H6" s="66"/>
      <c r="I6" s="65" t="s">
        <v>200</v>
      </c>
      <c r="J6" s="65"/>
      <c r="K6" s="66"/>
      <c r="L6" s="66"/>
      <c r="M6" s="77"/>
      <c r="N6" s="29"/>
    </row>
    <row r="7" spans="1:43" x14ac:dyDescent="0.25">
      <c r="A7" s="79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77"/>
      <c r="N7" s="29"/>
    </row>
    <row r="8" spans="1:43" x14ac:dyDescent="0.25">
      <c r="A8" s="72" t="s">
        <v>4</v>
      </c>
      <c r="B8" s="66"/>
      <c r="C8" s="66"/>
      <c r="D8" s="65"/>
      <c r="E8" s="75" t="s">
        <v>185</v>
      </c>
      <c r="F8" s="66"/>
      <c r="G8" s="76"/>
      <c r="H8" s="66"/>
      <c r="I8" s="65" t="s">
        <v>201</v>
      </c>
      <c r="J8" s="65"/>
      <c r="K8" s="66"/>
      <c r="L8" s="66"/>
      <c r="M8" s="77"/>
      <c r="N8" s="29"/>
    </row>
    <row r="9" spans="1:43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  <c r="N9" s="29"/>
    </row>
    <row r="10" spans="1:43" x14ac:dyDescent="0.25">
      <c r="A10" s="1" t="s">
        <v>5</v>
      </c>
      <c r="B10" s="9" t="s">
        <v>53</v>
      </c>
      <c r="C10" s="9" t="s">
        <v>54</v>
      </c>
      <c r="D10" s="9" t="s">
        <v>114</v>
      </c>
      <c r="E10" s="9" t="s">
        <v>186</v>
      </c>
      <c r="F10" s="15" t="s">
        <v>192</v>
      </c>
      <c r="G10" s="18" t="s">
        <v>193</v>
      </c>
      <c r="H10" s="67" t="s">
        <v>195</v>
      </c>
      <c r="I10" s="68"/>
      <c r="J10" s="69"/>
      <c r="K10" s="67" t="s">
        <v>205</v>
      </c>
      <c r="L10" s="69"/>
      <c r="M10" s="25" t="s">
        <v>206</v>
      </c>
      <c r="N10" s="30"/>
    </row>
    <row r="11" spans="1:43" x14ac:dyDescent="0.25">
      <c r="A11" s="2" t="s">
        <v>6</v>
      </c>
      <c r="B11" s="10" t="s">
        <v>6</v>
      </c>
      <c r="C11" s="10" t="s">
        <v>6</v>
      </c>
      <c r="D11" s="13" t="s">
        <v>115</v>
      </c>
      <c r="E11" s="10" t="s">
        <v>6</v>
      </c>
      <c r="F11" s="10" t="s">
        <v>6</v>
      </c>
      <c r="G11" s="19" t="s">
        <v>194</v>
      </c>
      <c r="H11" s="20" t="s">
        <v>196</v>
      </c>
      <c r="I11" s="21" t="s">
        <v>202</v>
      </c>
      <c r="J11" s="22" t="s">
        <v>204</v>
      </c>
      <c r="K11" s="20" t="s">
        <v>193</v>
      </c>
      <c r="L11" s="22" t="s">
        <v>204</v>
      </c>
      <c r="M11" s="26" t="s">
        <v>207</v>
      </c>
      <c r="N11" s="30"/>
      <c r="P11" s="24" t="s">
        <v>208</v>
      </c>
      <c r="Q11" s="24" t="s">
        <v>209</v>
      </c>
      <c r="R11" s="24" t="s">
        <v>211</v>
      </c>
      <c r="S11" s="24" t="s">
        <v>212</v>
      </c>
      <c r="T11" s="24" t="s">
        <v>213</v>
      </c>
      <c r="U11" s="24" t="s">
        <v>214</v>
      </c>
      <c r="V11" s="24" t="s">
        <v>215</v>
      </c>
      <c r="W11" s="24" t="s">
        <v>216</v>
      </c>
      <c r="X11" s="24" t="s">
        <v>217</v>
      </c>
    </row>
    <row r="12" spans="1:43" x14ac:dyDescent="0.25">
      <c r="A12" s="3"/>
      <c r="B12" s="11"/>
      <c r="C12" s="11" t="s">
        <v>55</v>
      </c>
      <c r="D12" s="70" t="s">
        <v>116</v>
      </c>
      <c r="E12" s="71"/>
      <c r="F12" s="71"/>
      <c r="G12" s="71"/>
      <c r="H12" s="33">
        <f>SUM(H13:H13)</f>
        <v>0</v>
      </c>
      <c r="I12" s="33">
        <f>SUM(I13:I13)</f>
        <v>0</v>
      </c>
      <c r="J12" s="33">
        <f>H12+I12</f>
        <v>0</v>
      </c>
      <c r="K12" s="23"/>
      <c r="L12" s="33">
        <f>SUM(L13:L13)</f>
        <v>0</v>
      </c>
      <c r="M12" s="23"/>
      <c r="P12" s="34">
        <f>IF(Q12="PR",J12,SUM(O13:O13))</f>
        <v>0</v>
      </c>
      <c r="Q12" s="24" t="s">
        <v>210</v>
      </c>
      <c r="R12" s="34">
        <f>IF(Q12="HS",H12,0)</f>
        <v>0</v>
      </c>
      <c r="S12" s="34">
        <f>IF(Q12="HS",I12-P12,0)</f>
        <v>0</v>
      </c>
      <c r="T12" s="34">
        <f>IF(Q12="PS",H12,0)</f>
        <v>0</v>
      </c>
      <c r="U12" s="34">
        <f>IF(Q12="PS",I12-P12,0)</f>
        <v>0</v>
      </c>
      <c r="V12" s="34">
        <f>IF(Q12="MP",H12,0)</f>
        <v>0</v>
      </c>
      <c r="W12" s="34">
        <f>IF(Q12="MP",I12-P12,0)</f>
        <v>0</v>
      </c>
      <c r="X12" s="34">
        <f>IF(Q12="OM",H12,0)</f>
        <v>0</v>
      </c>
      <c r="Y12" s="24"/>
      <c r="AI12" s="34">
        <f>SUM(Z13:Z13)</f>
        <v>0</v>
      </c>
      <c r="AJ12" s="34">
        <f>SUM(AA13:AA13)</f>
        <v>0</v>
      </c>
      <c r="AK12" s="34">
        <f>SUM(AB13:AB13)</f>
        <v>0</v>
      </c>
    </row>
    <row r="13" spans="1:43" x14ac:dyDescent="0.25">
      <c r="A13" s="4" t="s">
        <v>7</v>
      </c>
      <c r="B13" s="4"/>
      <c r="C13" s="4" t="s">
        <v>56</v>
      </c>
      <c r="D13" s="4" t="s">
        <v>117</v>
      </c>
      <c r="E13" s="4" t="s">
        <v>187</v>
      </c>
      <c r="F13" s="16">
        <v>42</v>
      </c>
      <c r="G13" s="16"/>
      <c r="H13" s="16">
        <f>F13*AE13</f>
        <v>0</v>
      </c>
      <c r="I13" s="16">
        <f>J13-H13</f>
        <v>0</v>
      </c>
      <c r="J13" s="16">
        <f>F13*G13</f>
        <v>0</v>
      </c>
      <c r="K13" s="16">
        <v>0</v>
      </c>
      <c r="L13" s="16">
        <f>F13*K13</f>
        <v>0</v>
      </c>
      <c r="M13" s="27"/>
      <c r="N13" s="27" t="s">
        <v>7</v>
      </c>
      <c r="O13" s="16">
        <f>IF(N13="5",I13,0)</f>
        <v>0</v>
      </c>
      <c r="Z13" s="16">
        <f>IF(AD13=0,J13,0)</f>
        <v>0</v>
      </c>
      <c r="AA13" s="16">
        <f>IF(AD13=15,J13,0)</f>
        <v>0</v>
      </c>
      <c r="AB13" s="16">
        <f>IF(AD13=21,J13,0)</f>
        <v>0</v>
      </c>
      <c r="AD13" s="31">
        <v>21</v>
      </c>
      <c r="AE13" s="31">
        <f>G13*0</f>
        <v>0</v>
      </c>
      <c r="AF13" s="31">
        <f>G13*(1-0)</f>
        <v>0</v>
      </c>
      <c r="AM13" s="31">
        <f>F13*AE13</f>
        <v>0</v>
      </c>
      <c r="AN13" s="31">
        <f>F13*AF13</f>
        <v>0</v>
      </c>
      <c r="AO13" s="32" t="s">
        <v>218</v>
      </c>
      <c r="AP13" s="32" t="s">
        <v>218</v>
      </c>
      <c r="AQ13" s="24" t="s">
        <v>244</v>
      </c>
    </row>
    <row r="14" spans="1:43" x14ac:dyDescent="0.25">
      <c r="A14" s="5"/>
      <c r="B14" s="12"/>
      <c r="C14" s="12" t="s">
        <v>17</v>
      </c>
      <c r="D14" s="61" t="s">
        <v>118</v>
      </c>
      <c r="E14" s="62"/>
      <c r="F14" s="62"/>
      <c r="G14" s="62"/>
      <c r="H14" s="34">
        <f>SUM(H15:H19)</f>
        <v>0</v>
      </c>
      <c r="I14" s="34">
        <f>SUM(I15:I19)</f>
        <v>0</v>
      </c>
      <c r="J14" s="34">
        <f>H14+I14</f>
        <v>0</v>
      </c>
      <c r="K14" s="24"/>
      <c r="L14" s="34">
        <f>SUM(L15:L19)</f>
        <v>11.049185000000001</v>
      </c>
      <c r="M14" s="24"/>
      <c r="P14" s="34">
        <f>IF(Q14="PR",J14,SUM(O15:O19))</f>
        <v>0</v>
      </c>
      <c r="Q14" s="24" t="s">
        <v>210</v>
      </c>
      <c r="R14" s="34">
        <f>IF(Q14="HS",H14,0)</f>
        <v>0</v>
      </c>
      <c r="S14" s="34">
        <f>IF(Q14="HS",I14-P14,0)</f>
        <v>0</v>
      </c>
      <c r="T14" s="34">
        <f>IF(Q14="PS",H14,0)</f>
        <v>0</v>
      </c>
      <c r="U14" s="34">
        <f>IF(Q14="PS",I14-P14,0)</f>
        <v>0</v>
      </c>
      <c r="V14" s="34">
        <f>IF(Q14="MP",H14,0)</f>
        <v>0</v>
      </c>
      <c r="W14" s="34">
        <f>IF(Q14="MP",I14-P14,0)</f>
        <v>0</v>
      </c>
      <c r="X14" s="34">
        <f>IF(Q14="OM",H14,0)</f>
        <v>0</v>
      </c>
      <c r="Y14" s="24"/>
      <c r="AI14" s="34">
        <f>SUM(Z15:Z19)</f>
        <v>0</v>
      </c>
      <c r="AJ14" s="34">
        <f>SUM(AA15:AA19)</f>
        <v>0</v>
      </c>
      <c r="AK14" s="34">
        <f>SUM(AB15:AB19)</f>
        <v>0</v>
      </c>
    </row>
    <row r="15" spans="1:43" x14ac:dyDescent="0.25">
      <c r="A15" s="4" t="s">
        <v>8</v>
      </c>
      <c r="B15" s="4"/>
      <c r="C15" s="4" t="s">
        <v>57</v>
      </c>
      <c r="D15" s="4" t="s">
        <v>119</v>
      </c>
      <c r="E15" s="4" t="s">
        <v>188</v>
      </c>
      <c r="F15" s="16">
        <v>16.2</v>
      </c>
      <c r="G15" s="16"/>
      <c r="H15" s="16">
        <f>F15*AE15</f>
        <v>0</v>
      </c>
      <c r="I15" s="16">
        <f>J15-H15</f>
        <v>0</v>
      </c>
      <c r="J15" s="16">
        <f>F15*G15</f>
        <v>0</v>
      </c>
      <c r="K15" s="16">
        <v>0.55000000000000004</v>
      </c>
      <c r="L15" s="16">
        <f>F15*K15</f>
        <v>8.91</v>
      </c>
      <c r="M15" s="27"/>
      <c r="N15" s="27" t="s">
        <v>7</v>
      </c>
      <c r="O15" s="16">
        <f>IF(N15="5",I15,0)</f>
        <v>0</v>
      </c>
      <c r="Z15" s="16">
        <f>IF(AD15=0,J15,0)</f>
        <v>0</v>
      </c>
      <c r="AA15" s="16">
        <f>IF(AD15=15,J15,0)</f>
        <v>0</v>
      </c>
      <c r="AB15" s="16">
        <f>IF(AD15=21,J15,0)</f>
        <v>0</v>
      </c>
      <c r="AD15" s="31">
        <v>21</v>
      </c>
      <c r="AE15" s="31">
        <f>G15*0</f>
        <v>0</v>
      </c>
      <c r="AF15" s="31">
        <f>G15*(1-0)</f>
        <v>0</v>
      </c>
      <c r="AM15" s="31">
        <f>F15*AE15</f>
        <v>0</v>
      </c>
      <c r="AN15" s="31">
        <f>F15*AF15</f>
        <v>0</v>
      </c>
      <c r="AO15" s="32" t="s">
        <v>219</v>
      </c>
      <c r="AP15" s="32" t="s">
        <v>238</v>
      </c>
      <c r="AQ15" s="24" t="s">
        <v>244</v>
      </c>
    </row>
    <row r="16" spans="1:43" x14ac:dyDescent="0.25">
      <c r="A16" s="4" t="s">
        <v>9</v>
      </c>
      <c r="B16" s="4"/>
      <c r="C16" s="4" t="s">
        <v>58</v>
      </c>
      <c r="D16" s="4" t="s">
        <v>120</v>
      </c>
      <c r="E16" s="4" t="s">
        <v>188</v>
      </c>
      <c r="F16" s="16">
        <v>16.2</v>
      </c>
      <c r="G16" s="16"/>
      <c r="H16" s="16">
        <f>F16*AE16</f>
        <v>0</v>
      </c>
      <c r="I16" s="16">
        <f>J16-H16</f>
        <v>0</v>
      </c>
      <c r="J16" s="16">
        <f>F16*G16</f>
        <v>0</v>
      </c>
      <c r="K16" s="16">
        <v>0.13200000000000001</v>
      </c>
      <c r="L16" s="16">
        <f>F16*K16</f>
        <v>2.1383999999999999</v>
      </c>
      <c r="M16" s="27"/>
      <c r="N16" s="27" t="s">
        <v>7</v>
      </c>
      <c r="O16" s="16">
        <f>IF(N16="5",I16,0)</f>
        <v>0</v>
      </c>
      <c r="Z16" s="16">
        <f>IF(AD16=0,J16,0)</f>
        <v>0</v>
      </c>
      <c r="AA16" s="16">
        <f>IF(AD16=15,J16,0)</f>
        <v>0</v>
      </c>
      <c r="AB16" s="16">
        <f>IF(AD16=21,J16,0)</f>
        <v>0</v>
      </c>
      <c r="AD16" s="31">
        <v>21</v>
      </c>
      <c r="AE16" s="31">
        <f>G16*0</f>
        <v>0</v>
      </c>
      <c r="AF16" s="31">
        <f>G16*(1-0)</f>
        <v>0</v>
      </c>
      <c r="AM16" s="31">
        <f>F16*AE16</f>
        <v>0</v>
      </c>
      <c r="AN16" s="31">
        <f>F16*AF16</f>
        <v>0</v>
      </c>
      <c r="AO16" s="32" t="s">
        <v>219</v>
      </c>
      <c r="AP16" s="32" t="s">
        <v>238</v>
      </c>
      <c r="AQ16" s="24" t="s">
        <v>244</v>
      </c>
    </row>
    <row r="17" spans="1:43" x14ac:dyDescent="0.25">
      <c r="A17" s="4" t="s">
        <v>10</v>
      </c>
      <c r="B17" s="4"/>
      <c r="C17" s="4" t="s">
        <v>59</v>
      </c>
      <c r="D17" s="4" t="s">
        <v>121</v>
      </c>
      <c r="E17" s="4" t="s">
        <v>189</v>
      </c>
      <c r="F17" s="16">
        <v>2</v>
      </c>
      <c r="G17" s="16"/>
      <c r="H17" s="16">
        <f>F17*AE17</f>
        <v>0</v>
      </c>
      <c r="I17" s="16">
        <f>J17-H17</f>
        <v>0</v>
      </c>
      <c r="J17" s="16">
        <f>F17*G17</f>
        <v>0</v>
      </c>
      <c r="K17" s="16">
        <v>0</v>
      </c>
      <c r="L17" s="16">
        <f>F17*K17</f>
        <v>0</v>
      </c>
      <c r="M17" s="27"/>
      <c r="N17" s="27" t="s">
        <v>9</v>
      </c>
      <c r="O17" s="16">
        <f>IF(N17="5",I17,0)</f>
        <v>0</v>
      </c>
      <c r="Z17" s="16">
        <f>IF(AD17=0,J17,0)</f>
        <v>0</v>
      </c>
      <c r="AA17" s="16">
        <f>IF(AD17=15,J17,0)</f>
        <v>0</v>
      </c>
      <c r="AB17" s="16">
        <f>IF(AD17=21,J17,0)</f>
        <v>0</v>
      </c>
      <c r="AD17" s="31">
        <v>21</v>
      </c>
      <c r="AE17" s="31">
        <f>G17*0</f>
        <v>0</v>
      </c>
      <c r="AF17" s="31">
        <f>G17*(1-0)</f>
        <v>0</v>
      </c>
      <c r="AM17" s="31">
        <f>F17*AE17</f>
        <v>0</v>
      </c>
      <c r="AN17" s="31">
        <f>F17*AF17</f>
        <v>0</v>
      </c>
      <c r="AO17" s="32" t="s">
        <v>219</v>
      </c>
      <c r="AP17" s="32" t="s">
        <v>238</v>
      </c>
      <c r="AQ17" s="24" t="s">
        <v>244</v>
      </c>
    </row>
    <row r="18" spans="1:43" x14ac:dyDescent="0.25">
      <c r="A18" s="4" t="s">
        <v>11</v>
      </c>
      <c r="B18" s="4"/>
      <c r="C18" s="4" t="s">
        <v>60</v>
      </c>
      <c r="D18" s="4" t="s">
        <v>122</v>
      </c>
      <c r="E18" s="4" t="s">
        <v>189</v>
      </c>
      <c r="F18" s="16">
        <v>2</v>
      </c>
      <c r="G18" s="16"/>
      <c r="H18" s="16">
        <f>F18*AE18</f>
        <v>0</v>
      </c>
      <c r="I18" s="16">
        <f>J18-H18</f>
        <v>0</v>
      </c>
      <c r="J18" s="16">
        <f>F18*G18</f>
        <v>0</v>
      </c>
      <c r="K18" s="16">
        <v>0</v>
      </c>
      <c r="L18" s="16">
        <f>F18*K18</f>
        <v>0</v>
      </c>
      <c r="M18" s="27"/>
      <c r="N18" s="27" t="s">
        <v>9</v>
      </c>
      <c r="O18" s="16">
        <f>IF(N18="5",I18,0)</f>
        <v>0</v>
      </c>
      <c r="Z18" s="16">
        <f>IF(AD18=0,J18,0)</f>
        <v>0</v>
      </c>
      <c r="AA18" s="16">
        <f>IF(AD18=15,J18,0)</f>
        <v>0</v>
      </c>
      <c r="AB18" s="16">
        <f>IF(AD18=21,J18,0)</f>
        <v>0</v>
      </c>
      <c r="AD18" s="31">
        <v>21</v>
      </c>
      <c r="AE18" s="31">
        <f>G18*0</f>
        <v>0</v>
      </c>
      <c r="AF18" s="31">
        <f>G18*(1-0)</f>
        <v>0</v>
      </c>
      <c r="AM18" s="31">
        <f>F18*AE18</f>
        <v>0</v>
      </c>
      <c r="AN18" s="31">
        <f>F18*AF18</f>
        <v>0</v>
      </c>
      <c r="AO18" s="32" t="s">
        <v>219</v>
      </c>
      <c r="AP18" s="32" t="s">
        <v>238</v>
      </c>
      <c r="AQ18" s="24" t="s">
        <v>244</v>
      </c>
    </row>
    <row r="19" spans="1:43" x14ac:dyDescent="0.25">
      <c r="A19" s="4" t="s">
        <v>12</v>
      </c>
      <c r="B19" s="4"/>
      <c r="C19" s="4" t="s">
        <v>61</v>
      </c>
      <c r="D19" s="4" t="s">
        <v>123</v>
      </c>
      <c r="E19" s="4" t="s">
        <v>188</v>
      </c>
      <c r="F19" s="16">
        <v>15.7</v>
      </c>
      <c r="G19" s="16"/>
      <c r="H19" s="16">
        <f>F19*AE19</f>
        <v>0</v>
      </c>
      <c r="I19" s="16">
        <f>J19-H19</f>
        <v>0</v>
      </c>
      <c r="J19" s="16">
        <f>F19*G19</f>
        <v>0</v>
      </c>
      <c r="K19" s="16">
        <v>5.0000000000000002E-5</v>
      </c>
      <c r="L19" s="16">
        <f>F19*K19</f>
        <v>7.85E-4</v>
      </c>
      <c r="M19" s="27"/>
      <c r="N19" s="27" t="s">
        <v>9</v>
      </c>
      <c r="O19" s="16">
        <f>IF(N19="5",I19,0)</f>
        <v>0</v>
      </c>
      <c r="Z19" s="16">
        <f>IF(AD19=0,J19,0)</f>
        <v>0</v>
      </c>
      <c r="AA19" s="16">
        <f>IF(AD19=15,J19,0)</f>
        <v>0</v>
      </c>
      <c r="AB19" s="16">
        <f>IF(AD19=21,J19,0)</f>
        <v>0</v>
      </c>
      <c r="AD19" s="31">
        <v>21</v>
      </c>
      <c r="AE19" s="31">
        <f>G19*0.0378177309361438</f>
        <v>0</v>
      </c>
      <c r="AF19" s="31">
        <f>G19*(1-0.0378177309361438)</f>
        <v>0</v>
      </c>
      <c r="AM19" s="31">
        <f>F19*AE19</f>
        <v>0</v>
      </c>
      <c r="AN19" s="31">
        <f>F19*AF19</f>
        <v>0</v>
      </c>
      <c r="AO19" s="32" t="s">
        <v>219</v>
      </c>
      <c r="AP19" s="32" t="s">
        <v>238</v>
      </c>
      <c r="AQ19" s="24" t="s">
        <v>244</v>
      </c>
    </row>
    <row r="20" spans="1:43" x14ac:dyDescent="0.25">
      <c r="A20" s="5"/>
      <c r="B20" s="12"/>
      <c r="C20" s="12" t="s">
        <v>18</v>
      </c>
      <c r="D20" s="61" t="s">
        <v>124</v>
      </c>
      <c r="E20" s="62"/>
      <c r="F20" s="62"/>
      <c r="G20" s="62"/>
      <c r="H20" s="34">
        <f>SUM(H21:H21)</f>
        <v>0</v>
      </c>
      <c r="I20" s="34">
        <f>SUM(I21:I21)</f>
        <v>0</v>
      </c>
      <c r="J20" s="34">
        <f>H20+I20</f>
        <v>0</v>
      </c>
      <c r="K20" s="24"/>
      <c r="L20" s="34">
        <f>SUM(L21:L21)</f>
        <v>0</v>
      </c>
      <c r="M20" s="24"/>
      <c r="P20" s="34">
        <f>IF(Q20="PR",J20,SUM(O21:O21))</f>
        <v>0</v>
      </c>
      <c r="Q20" s="24" t="s">
        <v>210</v>
      </c>
      <c r="R20" s="34">
        <f>IF(Q20="HS",H20,0)</f>
        <v>0</v>
      </c>
      <c r="S20" s="34">
        <f>IF(Q20="HS",I20-P20,0)</f>
        <v>0</v>
      </c>
      <c r="T20" s="34">
        <f>IF(Q20="PS",H20,0)</f>
        <v>0</v>
      </c>
      <c r="U20" s="34">
        <f>IF(Q20="PS",I20-P20,0)</f>
        <v>0</v>
      </c>
      <c r="V20" s="34">
        <f>IF(Q20="MP",H20,0)</f>
        <v>0</v>
      </c>
      <c r="W20" s="34">
        <f>IF(Q20="MP",I20-P20,0)</f>
        <v>0</v>
      </c>
      <c r="X20" s="34">
        <f>IF(Q20="OM",H20,0)</f>
        <v>0</v>
      </c>
      <c r="Y20" s="24"/>
      <c r="AI20" s="34">
        <f>SUM(Z21:Z21)</f>
        <v>0</v>
      </c>
      <c r="AJ20" s="34">
        <f>SUM(AA21:AA21)</f>
        <v>0</v>
      </c>
      <c r="AK20" s="34">
        <f>SUM(AB21:AB21)</f>
        <v>0</v>
      </c>
    </row>
    <row r="21" spans="1:43" x14ac:dyDescent="0.25">
      <c r="A21" s="4" t="s">
        <v>13</v>
      </c>
      <c r="B21" s="4"/>
      <c r="C21" s="4" t="s">
        <v>62</v>
      </c>
      <c r="D21" s="4" t="s">
        <v>125</v>
      </c>
      <c r="E21" s="4" t="s">
        <v>190</v>
      </c>
      <c r="F21" s="16">
        <v>42.8</v>
      </c>
      <c r="G21" s="16"/>
      <c r="H21" s="16">
        <f>F21*AE21</f>
        <v>0</v>
      </c>
      <c r="I21" s="16">
        <f>J21-H21</f>
        <v>0</v>
      </c>
      <c r="J21" s="16">
        <f>F21*G21</f>
        <v>0</v>
      </c>
      <c r="K21" s="16">
        <v>0</v>
      </c>
      <c r="L21" s="16">
        <f>F21*K21</f>
        <v>0</v>
      </c>
      <c r="M21" s="27"/>
      <c r="N21" s="27" t="s">
        <v>7</v>
      </c>
      <c r="O21" s="16">
        <f>IF(N21="5",I21,0)</f>
        <v>0</v>
      </c>
      <c r="Z21" s="16">
        <f>IF(AD21=0,J21,0)</f>
        <v>0</v>
      </c>
      <c r="AA21" s="16">
        <f>IF(AD21=15,J21,0)</f>
        <v>0</v>
      </c>
      <c r="AB21" s="16">
        <f>IF(AD21=21,J21,0)</f>
        <v>0</v>
      </c>
      <c r="AD21" s="31">
        <v>21</v>
      </c>
      <c r="AE21" s="31">
        <f>G21*0</f>
        <v>0</v>
      </c>
      <c r="AF21" s="31">
        <f>G21*(1-0)</f>
        <v>0</v>
      </c>
      <c r="AM21" s="31">
        <f>F21*AE21</f>
        <v>0</v>
      </c>
      <c r="AN21" s="31">
        <f>F21*AF21</f>
        <v>0</v>
      </c>
      <c r="AO21" s="32" t="s">
        <v>220</v>
      </c>
      <c r="AP21" s="32" t="s">
        <v>238</v>
      </c>
      <c r="AQ21" s="24" t="s">
        <v>244</v>
      </c>
    </row>
    <row r="22" spans="1:43" x14ac:dyDescent="0.25">
      <c r="A22" s="5"/>
      <c r="B22" s="12"/>
      <c r="C22" s="12" t="s">
        <v>19</v>
      </c>
      <c r="D22" s="61" t="s">
        <v>126</v>
      </c>
      <c r="E22" s="62"/>
      <c r="F22" s="62"/>
      <c r="G22" s="62"/>
      <c r="H22" s="34">
        <f>SUM(H23:H23)</f>
        <v>0</v>
      </c>
      <c r="I22" s="34">
        <f>SUM(I23:I23)</f>
        <v>0</v>
      </c>
      <c r="J22" s="34">
        <f>H22+I22</f>
        <v>0</v>
      </c>
      <c r="K22" s="24"/>
      <c r="L22" s="34">
        <f>SUM(L23:L23)</f>
        <v>0</v>
      </c>
      <c r="M22" s="24"/>
      <c r="P22" s="34">
        <f>IF(Q22="PR",J22,SUM(O23:O23))</f>
        <v>0</v>
      </c>
      <c r="Q22" s="24" t="s">
        <v>210</v>
      </c>
      <c r="R22" s="34">
        <f>IF(Q22="HS",H22,0)</f>
        <v>0</v>
      </c>
      <c r="S22" s="34">
        <f>IF(Q22="HS",I22-P22,0)</f>
        <v>0</v>
      </c>
      <c r="T22" s="34">
        <f>IF(Q22="PS",H22,0)</f>
        <v>0</v>
      </c>
      <c r="U22" s="34">
        <f>IF(Q22="PS",I22-P22,0)</f>
        <v>0</v>
      </c>
      <c r="V22" s="34">
        <f>IF(Q22="MP",H22,0)</f>
        <v>0</v>
      </c>
      <c r="W22" s="34">
        <f>IF(Q22="MP",I22-P22,0)</f>
        <v>0</v>
      </c>
      <c r="X22" s="34">
        <f>IF(Q22="OM",H22,0)</f>
        <v>0</v>
      </c>
      <c r="Y22" s="24"/>
      <c r="AI22" s="34">
        <f>SUM(Z23:Z23)</f>
        <v>0</v>
      </c>
      <c r="AJ22" s="34">
        <f>SUM(AA23:AA23)</f>
        <v>0</v>
      </c>
      <c r="AK22" s="34">
        <f>SUM(AB23:AB23)</f>
        <v>0</v>
      </c>
    </row>
    <row r="23" spans="1:43" x14ac:dyDescent="0.25">
      <c r="A23" s="4" t="s">
        <v>14</v>
      </c>
      <c r="B23" s="4"/>
      <c r="C23" s="4" t="s">
        <v>63</v>
      </c>
      <c r="D23" s="4" t="s">
        <v>127</v>
      </c>
      <c r="E23" s="4" t="s">
        <v>190</v>
      </c>
      <c r="F23" s="16">
        <v>7.2</v>
      </c>
      <c r="G23" s="16"/>
      <c r="H23" s="16">
        <f>F23*AE23</f>
        <v>0</v>
      </c>
      <c r="I23" s="16">
        <f>J23-H23</f>
        <v>0</v>
      </c>
      <c r="J23" s="16">
        <f>F23*G23</f>
        <v>0</v>
      </c>
      <c r="K23" s="16">
        <v>0</v>
      </c>
      <c r="L23" s="16">
        <f>F23*K23</f>
        <v>0</v>
      </c>
      <c r="M23" s="27"/>
      <c r="N23" s="27" t="s">
        <v>7</v>
      </c>
      <c r="O23" s="16">
        <f>IF(N23="5",I23,0)</f>
        <v>0</v>
      </c>
      <c r="Z23" s="16">
        <f>IF(AD23=0,J23,0)</f>
        <v>0</v>
      </c>
      <c r="AA23" s="16">
        <f>IF(AD23=15,J23,0)</f>
        <v>0</v>
      </c>
      <c r="AB23" s="16">
        <f>IF(AD23=21,J23,0)</f>
        <v>0</v>
      </c>
      <c r="AD23" s="31">
        <v>21</v>
      </c>
      <c r="AE23" s="31">
        <f>G23*0</f>
        <v>0</v>
      </c>
      <c r="AF23" s="31">
        <f>G23*(1-0)</f>
        <v>0</v>
      </c>
      <c r="AM23" s="31">
        <f>F23*AE23</f>
        <v>0</v>
      </c>
      <c r="AN23" s="31">
        <f>F23*AF23</f>
        <v>0</v>
      </c>
      <c r="AO23" s="32" t="s">
        <v>221</v>
      </c>
      <c r="AP23" s="32" t="s">
        <v>238</v>
      </c>
      <c r="AQ23" s="24" t="s">
        <v>244</v>
      </c>
    </row>
    <row r="24" spans="1:43" x14ac:dyDescent="0.25">
      <c r="A24" s="5"/>
      <c r="B24" s="12"/>
      <c r="C24" s="12" t="s">
        <v>22</v>
      </c>
      <c r="D24" s="61" t="s">
        <v>128</v>
      </c>
      <c r="E24" s="62"/>
      <c r="F24" s="62"/>
      <c r="G24" s="62"/>
      <c r="H24" s="34">
        <f>SUM(H25:H28)</f>
        <v>0</v>
      </c>
      <c r="I24" s="34">
        <f>SUM(I25:I28)</f>
        <v>0</v>
      </c>
      <c r="J24" s="34">
        <f>H24+I24</f>
        <v>0</v>
      </c>
      <c r="K24" s="24"/>
      <c r="L24" s="34">
        <f>SUM(L25:L28)</f>
        <v>0</v>
      </c>
      <c r="M24" s="24"/>
      <c r="P24" s="34">
        <f>IF(Q24="PR",J24,SUM(O25:O28))</f>
        <v>0</v>
      </c>
      <c r="Q24" s="24" t="s">
        <v>210</v>
      </c>
      <c r="R24" s="34">
        <f>IF(Q24="HS",H24,0)</f>
        <v>0</v>
      </c>
      <c r="S24" s="34">
        <f>IF(Q24="HS",I24-P24,0)</f>
        <v>0</v>
      </c>
      <c r="T24" s="34">
        <f>IF(Q24="PS",H24,0)</f>
        <v>0</v>
      </c>
      <c r="U24" s="34">
        <f>IF(Q24="PS",I24-P24,0)</f>
        <v>0</v>
      </c>
      <c r="V24" s="34">
        <f>IF(Q24="MP",H24,0)</f>
        <v>0</v>
      </c>
      <c r="W24" s="34">
        <f>IF(Q24="MP",I24-P24,0)</f>
        <v>0</v>
      </c>
      <c r="X24" s="34">
        <f>IF(Q24="OM",H24,0)</f>
        <v>0</v>
      </c>
      <c r="Y24" s="24"/>
      <c r="AI24" s="34">
        <f>SUM(Z25:Z28)</f>
        <v>0</v>
      </c>
      <c r="AJ24" s="34">
        <f>SUM(AA25:AA28)</f>
        <v>0</v>
      </c>
      <c r="AK24" s="34">
        <f>SUM(AB25:AB28)</f>
        <v>0</v>
      </c>
    </row>
    <row r="25" spans="1:43" x14ac:dyDescent="0.25">
      <c r="A25" s="4" t="s">
        <v>15</v>
      </c>
      <c r="B25" s="4"/>
      <c r="C25" s="4" t="s">
        <v>64</v>
      </c>
      <c r="D25" s="4" t="s">
        <v>129</v>
      </c>
      <c r="E25" s="4" t="s">
        <v>190</v>
      </c>
      <c r="F25" s="16">
        <v>335.1</v>
      </c>
      <c r="G25" s="16"/>
      <c r="H25" s="16">
        <f>F25*AE25</f>
        <v>0</v>
      </c>
      <c r="I25" s="16">
        <f>J25-H25</f>
        <v>0</v>
      </c>
      <c r="J25" s="16">
        <f>F25*G25</f>
        <v>0</v>
      </c>
      <c r="K25" s="16">
        <v>0</v>
      </c>
      <c r="L25" s="16">
        <f>F25*K25</f>
        <v>0</v>
      </c>
      <c r="M25" s="27"/>
      <c r="N25" s="27" t="s">
        <v>7</v>
      </c>
      <c r="O25" s="16">
        <f>IF(N25="5",I25,0)</f>
        <v>0</v>
      </c>
      <c r="Z25" s="16">
        <f>IF(AD25=0,J25,0)</f>
        <v>0</v>
      </c>
      <c r="AA25" s="16">
        <f>IF(AD25=15,J25,0)</f>
        <v>0</v>
      </c>
      <c r="AB25" s="16">
        <f>IF(AD25=21,J25,0)</f>
        <v>0</v>
      </c>
      <c r="AD25" s="31">
        <v>21</v>
      </c>
      <c r="AE25" s="31">
        <f>G25*0</f>
        <v>0</v>
      </c>
      <c r="AF25" s="31">
        <f>G25*(1-0)</f>
        <v>0</v>
      </c>
      <c r="AM25" s="31">
        <f>F25*AE25</f>
        <v>0</v>
      </c>
      <c r="AN25" s="31">
        <f>F25*AF25</f>
        <v>0</v>
      </c>
      <c r="AO25" s="32" t="s">
        <v>222</v>
      </c>
      <c r="AP25" s="32" t="s">
        <v>238</v>
      </c>
      <c r="AQ25" s="24" t="s">
        <v>244</v>
      </c>
    </row>
    <row r="26" spans="1:43" x14ac:dyDescent="0.25">
      <c r="A26" s="4" t="s">
        <v>16</v>
      </c>
      <c r="B26" s="4"/>
      <c r="C26" s="4" t="s">
        <v>65</v>
      </c>
      <c r="D26" s="4" t="s">
        <v>130</v>
      </c>
      <c r="E26" s="4" t="s">
        <v>190</v>
      </c>
      <c r="F26" s="16">
        <v>403.9</v>
      </c>
      <c r="G26" s="16"/>
      <c r="H26" s="16">
        <f>F26*AE26</f>
        <v>0</v>
      </c>
      <c r="I26" s="16">
        <f>J26-H26</f>
        <v>0</v>
      </c>
      <c r="J26" s="16">
        <f>F26*G26</f>
        <v>0</v>
      </c>
      <c r="K26" s="16">
        <v>0</v>
      </c>
      <c r="L26" s="16">
        <f>F26*K26</f>
        <v>0</v>
      </c>
      <c r="M26" s="27"/>
      <c r="N26" s="27" t="s">
        <v>7</v>
      </c>
      <c r="O26" s="16">
        <f>IF(N26="5",I26,0)</f>
        <v>0</v>
      </c>
      <c r="Z26" s="16">
        <f>IF(AD26=0,J26,0)</f>
        <v>0</v>
      </c>
      <c r="AA26" s="16">
        <f>IF(AD26=15,J26,0)</f>
        <v>0</v>
      </c>
      <c r="AB26" s="16">
        <f>IF(AD26=21,J26,0)</f>
        <v>0</v>
      </c>
      <c r="AD26" s="31">
        <v>21</v>
      </c>
      <c r="AE26" s="31">
        <f>G26*0</f>
        <v>0</v>
      </c>
      <c r="AF26" s="31">
        <f>G26*(1-0)</f>
        <v>0</v>
      </c>
      <c r="AM26" s="31">
        <f>F26*AE26</f>
        <v>0</v>
      </c>
      <c r="AN26" s="31">
        <f>F26*AF26</f>
        <v>0</v>
      </c>
      <c r="AO26" s="32" t="s">
        <v>222</v>
      </c>
      <c r="AP26" s="32" t="s">
        <v>238</v>
      </c>
      <c r="AQ26" s="24" t="s">
        <v>244</v>
      </c>
    </row>
    <row r="27" spans="1:43" x14ac:dyDescent="0.25">
      <c r="D27" s="14" t="s">
        <v>131</v>
      </c>
    </row>
    <row r="28" spans="1:43" x14ac:dyDescent="0.25">
      <c r="A28" s="4" t="s">
        <v>17</v>
      </c>
      <c r="B28" s="4"/>
      <c r="C28" s="4" t="s">
        <v>66</v>
      </c>
      <c r="D28" s="4" t="s">
        <v>132</v>
      </c>
      <c r="E28" s="4" t="s">
        <v>190</v>
      </c>
      <c r="F28" s="16">
        <v>807.8</v>
      </c>
      <c r="G28" s="16"/>
      <c r="H28" s="16">
        <f>F28*AE28</f>
        <v>0</v>
      </c>
      <c r="I28" s="16">
        <f>J28-H28</f>
        <v>0</v>
      </c>
      <c r="J28" s="16">
        <f>F28*G28</f>
        <v>0</v>
      </c>
      <c r="K28" s="16">
        <v>0</v>
      </c>
      <c r="L28" s="16">
        <f>F28*K28</f>
        <v>0</v>
      </c>
      <c r="M28" s="27"/>
      <c r="N28" s="27" t="s">
        <v>7</v>
      </c>
      <c r="O28" s="16">
        <f>IF(N28="5",I28,0)</f>
        <v>0</v>
      </c>
      <c r="Z28" s="16">
        <f>IF(AD28=0,J28,0)</f>
        <v>0</v>
      </c>
      <c r="AA28" s="16">
        <f>IF(AD28=15,J28,0)</f>
        <v>0</v>
      </c>
      <c r="AB28" s="16">
        <f>IF(AD28=21,J28,0)</f>
        <v>0</v>
      </c>
      <c r="AD28" s="31">
        <v>21</v>
      </c>
      <c r="AE28" s="31">
        <f>G28*0</f>
        <v>0</v>
      </c>
      <c r="AF28" s="31">
        <f>G28*(1-0)</f>
        <v>0</v>
      </c>
      <c r="AM28" s="31">
        <f>F28*AE28</f>
        <v>0</v>
      </c>
      <c r="AN28" s="31">
        <f>F28*AF28</f>
        <v>0</v>
      </c>
      <c r="AO28" s="32" t="s">
        <v>222</v>
      </c>
      <c r="AP28" s="32" t="s">
        <v>238</v>
      </c>
      <c r="AQ28" s="24" t="s">
        <v>244</v>
      </c>
    </row>
    <row r="29" spans="1:43" x14ac:dyDescent="0.25">
      <c r="A29" s="5"/>
      <c r="B29" s="12"/>
      <c r="C29" s="12" t="s">
        <v>23</v>
      </c>
      <c r="D29" s="61" t="s">
        <v>133</v>
      </c>
      <c r="E29" s="62"/>
      <c r="F29" s="62"/>
      <c r="G29" s="62"/>
      <c r="H29" s="34">
        <f>SUM(H30:H31)</f>
        <v>0</v>
      </c>
      <c r="I29" s="34">
        <f>SUM(I30:I31)</f>
        <v>0</v>
      </c>
      <c r="J29" s="34">
        <f>H29+I29</f>
        <v>0</v>
      </c>
      <c r="K29" s="24"/>
      <c r="L29" s="34">
        <f>SUM(L30:L31)</f>
        <v>0</v>
      </c>
      <c r="M29" s="24"/>
      <c r="P29" s="34">
        <f>IF(Q29="PR",J29,SUM(O30:O31))</f>
        <v>0</v>
      </c>
      <c r="Q29" s="24" t="s">
        <v>210</v>
      </c>
      <c r="R29" s="34">
        <f>IF(Q29="HS",H29,0)</f>
        <v>0</v>
      </c>
      <c r="S29" s="34">
        <f>IF(Q29="HS",I29-P29,0)</f>
        <v>0</v>
      </c>
      <c r="T29" s="34">
        <f>IF(Q29="PS",H29,0)</f>
        <v>0</v>
      </c>
      <c r="U29" s="34">
        <f>IF(Q29="PS",I29-P29,0)</f>
        <v>0</v>
      </c>
      <c r="V29" s="34">
        <f>IF(Q29="MP",H29,0)</f>
        <v>0</v>
      </c>
      <c r="W29" s="34">
        <f>IF(Q29="MP",I29-P29,0)</f>
        <v>0</v>
      </c>
      <c r="X29" s="34">
        <f>IF(Q29="OM",H29,0)</f>
        <v>0</v>
      </c>
      <c r="Y29" s="24"/>
      <c r="AI29" s="34">
        <f>SUM(Z30:Z31)</f>
        <v>0</v>
      </c>
      <c r="AJ29" s="34">
        <f>SUM(AA30:AA31)</f>
        <v>0</v>
      </c>
      <c r="AK29" s="34">
        <f>SUM(AB30:AB31)</f>
        <v>0</v>
      </c>
    </row>
    <row r="30" spans="1:43" x14ac:dyDescent="0.25">
      <c r="A30" s="4" t="s">
        <v>18</v>
      </c>
      <c r="B30" s="4"/>
      <c r="C30" s="4" t="s">
        <v>67</v>
      </c>
      <c r="D30" s="4" t="s">
        <v>134</v>
      </c>
      <c r="E30" s="4" t="s">
        <v>190</v>
      </c>
      <c r="F30" s="16">
        <v>29.8</v>
      </c>
      <c r="G30" s="16"/>
      <c r="H30" s="16">
        <f>F30*AE30</f>
        <v>0</v>
      </c>
      <c r="I30" s="16">
        <f>J30-H30</f>
        <v>0</v>
      </c>
      <c r="J30" s="16">
        <f>F30*G30</f>
        <v>0</v>
      </c>
      <c r="K30" s="16">
        <v>0</v>
      </c>
      <c r="L30" s="16">
        <f>F30*K30</f>
        <v>0</v>
      </c>
      <c r="M30" s="27"/>
      <c r="N30" s="27" t="s">
        <v>7</v>
      </c>
      <c r="O30" s="16">
        <f>IF(N30="5",I30,0)</f>
        <v>0</v>
      </c>
      <c r="Z30" s="16">
        <f>IF(AD30=0,J30,0)</f>
        <v>0</v>
      </c>
      <c r="AA30" s="16">
        <f>IF(AD30=15,J30,0)</f>
        <v>0</v>
      </c>
      <c r="AB30" s="16">
        <f>IF(AD30=21,J30,0)</f>
        <v>0</v>
      </c>
      <c r="AD30" s="31">
        <v>21</v>
      </c>
      <c r="AE30" s="31">
        <f>G30*0</f>
        <v>0</v>
      </c>
      <c r="AF30" s="31">
        <f>G30*(1-0)</f>
        <v>0</v>
      </c>
      <c r="AM30" s="31">
        <f>F30*AE30</f>
        <v>0</v>
      </c>
      <c r="AN30" s="31">
        <f>F30*AF30</f>
        <v>0</v>
      </c>
      <c r="AO30" s="32" t="s">
        <v>223</v>
      </c>
      <c r="AP30" s="32" t="s">
        <v>238</v>
      </c>
      <c r="AQ30" s="24" t="s">
        <v>244</v>
      </c>
    </row>
    <row r="31" spans="1:43" x14ac:dyDescent="0.25">
      <c r="A31" s="4" t="s">
        <v>19</v>
      </c>
      <c r="B31" s="4"/>
      <c r="C31" s="4" t="s">
        <v>68</v>
      </c>
      <c r="D31" s="4" t="s">
        <v>135</v>
      </c>
      <c r="E31" s="4" t="s">
        <v>190</v>
      </c>
      <c r="F31" s="16">
        <v>403.9</v>
      </c>
      <c r="G31" s="16"/>
      <c r="H31" s="16">
        <f>F31*AE31</f>
        <v>0</v>
      </c>
      <c r="I31" s="16">
        <f>J31-H31</f>
        <v>0</v>
      </c>
      <c r="J31" s="16">
        <f>F31*G31</f>
        <v>0</v>
      </c>
      <c r="K31" s="16">
        <v>0</v>
      </c>
      <c r="L31" s="16">
        <f>F31*K31</f>
        <v>0</v>
      </c>
      <c r="M31" s="27"/>
      <c r="N31" s="27" t="s">
        <v>7</v>
      </c>
      <c r="O31" s="16">
        <f>IF(N31="5",I31,0)</f>
        <v>0</v>
      </c>
      <c r="Z31" s="16">
        <f>IF(AD31=0,J31,0)</f>
        <v>0</v>
      </c>
      <c r="AA31" s="16">
        <f>IF(AD31=15,J31,0)</f>
        <v>0</v>
      </c>
      <c r="AB31" s="16">
        <f>IF(AD31=21,J31,0)</f>
        <v>0</v>
      </c>
      <c r="AD31" s="31">
        <v>21</v>
      </c>
      <c r="AE31" s="31">
        <f>G31*0</f>
        <v>0</v>
      </c>
      <c r="AF31" s="31">
        <f>G31*(1-0)</f>
        <v>0</v>
      </c>
      <c r="AM31" s="31">
        <f>F31*AE31</f>
        <v>0</v>
      </c>
      <c r="AN31" s="31">
        <f>F31*AF31</f>
        <v>0</v>
      </c>
      <c r="AO31" s="32" t="s">
        <v>223</v>
      </c>
      <c r="AP31" s="32" t="s">
        <v>238</v>
      </c>
      <c r="AQ31" s="24" t="s">
        <v>244</v>
      </c>
    </row>
    <row r="32" spans="1:43" x14ac:dyDescent="0.25">
      <c r="A32" s="5"/>
      <c r="B32" s="12"/>
      <c r="C32" s="12" t="s">
        <v>24</v>
      </c>
      <c r="D32" s="61" t="s">
        <v>136</v>
      </c>
      <c r="E32" s="62"/>
      <c r="F32" s="62"/>
      <c r="G32" s="62"/>
      <c r="H32" s="34">
        <f>SUM(H33:H34)</f>
        <v>0</v>
      </c>
      <c r="I32" s="34">
        <f>SUM(I33:I34)</f>
        <v>0</v>
      </c>
      <c r="J32" s="34">
        <f>H32+I32</f>
        <v>0</v>
      </c>
      <c r="K32" s="24"/>
      <c r="L32" s="34">
        <f>SUM(L33:L34)</f>
        <v>0</v>
      </c>
      <c r="M32" s="24"/>
      <c r="P32" s="34">
        <f>IF(Q32="PR",J32,SUM(O33:O34))</f>
        <v>0</v>
      </c>
      <c r="Q32" s="24" t="s">
        <v>210</v>
      </c>
      <c r="R32" s="34">
        <f>IF(Q32="HS",H32,0)</f>
        <v>0</v>
      </c>
      <c r="S32" s="34">
        <f>IF(Q32="HS",I32-P32,0)</f>
        <v>0</v>
      </c>
      <c r="T32" s="34">
        <f>IF(Q32="PS",H32,0)</f>
        <v>0</v>
      </c>
      <c r="U32" s="34">
        <f>IF(Q32="PS",I32-P32,0)</f>
        <v>0</v>
      </c>
      <c r="V32" s="34">
        <f>IF(Q32="MP",H32,0)</f>
        <v>0</v>
      </c>
      <c r="W32" s="34">
        <f>IF(Q32="MP",I32-P32,0)</f>
        <v>0</v>
      </c>
      <c r="X32" s="34">
        <f>IF(Q32="OM",H32,0)</f>
        <v>0</v>
      </c>
      <c r="Y32" s="24"/>
      <c r="AI32" s="34">
        <f>SUM(Z33:Z34)</f>
        <v>0</v>
      </c>
      <c r="AJ32" s="34">
        <f>SUM(AA33:AA34)</f>
        <v>0</v>
      </c>
      <c r="AK32" s="34">
        <f>SUM(AB33:AB34)</f>
        <v>0</v>
      </c>
    </row>
    <row r="33" spans="1:43" x14ac:dyDescent="0.25">
      <c r="A33" s="4" t="s">
        <v>20</v>
      </c>
      <c r="B33" s="4"/>
      <c r="C33" s="4" t="s">
        <v>69</v>
      </c>
      <c r="D33" s="4" t="s">
        <v>137</v>
      </c>
      <c r="E33" s="4" t="s">
        <v>188</v>
      </c>
      <c r="F33" s="16">
        <v>52.8</v>
      </c>
      <c r="G33" s="16"/>
      <c r="H33" s="16">
        <f>F33*AE33</f>
        <v>0</v>
      </c>
      <c r="I33" s="16">
        <f>J33-H33</f>
        <v>0</v>
      </c>
      <c r="J33" s="16">
        <f>F33*G33</f>
        <v>0</v>
      </c>
      <c r="K33" s="16">
        <v>0</v>
      </c>
      <c r="L33" s="16">
        <f>F33*K33</f>
        <v>0</v>
      </c>
      <c r="M33" s="27"/>
      <c r="N33" s="27" t="s">
        <v>7</v>
      </c>
      <c r="O33" s="16">
        <f>IF(N33="5",I33,0)</f>
        <v>0</v>
      </c>
      <c r="Z33" s="16">
        <f>IF(AD33=0,J33,0)</f>
        <v>0</v>
      </c>
      <c r="AA33" s="16">
        <f>IF(AD33=15,J33,0)</f>
        <v>0</v>
      </c>
      <c r="AB33" s="16">
        <f>IF(AD33=21,J33,0)</f>
        <v>0</v>
      </c>
      <c r="AD33" s="31">
        <v>21</v>
      </c>
      <c r="AE33" s="31">
        <f>G33*0</f>
        <v>0</v>
      </c>
      <c r="AF33" s="31">
        <f>G33*(1-0)</f>
        <v>0</v>
      </c>
      <c r="AM33" s="31">
        <f>F33*AE33</f>
        <v>0</v>
      </c>
      <c r="AN33" s="31">
        <f>F33*AF33</f>
        <v>0</v>
      </c>
      <c r="AO33" s="32" t="s">
        <v>224</v>
      </c>
      <c r="AP33" s="32" t="s">
        <v>238</v>
      </c>
      <c r="AQ33" s="24" t="s">
        <v>244</v>
      </c>
    </row>
    <row r="34" spans="1:43" x14ac:dyDescent="0.25">
      <c r="A34" s="4" t="s">
        <v>21</v>
      </c>
      <c r="B34" s="4"/>
      <c r="C34" s="4" t="s">
        <v>70</v>
      </c>
      <c r="D34" s="4" t="s">
        <v>138</v>
      </c>
      <c r="E34" s="4" t="s">
        <v>188</v>
      </c>
      <c r="F34" s="16">
        <v>877.5</v>
      </c>
      <c r="G34" s="16"/>
      <c r="H34" s="16">
        <f>F34*AE34</f>
        <v>0</v>
      </c>
      <c r="I34" s="16">
        <f>J34-H34</f>
        <v>0</v>
      </c>
      <c r="J34" s="16">
        <f>F34*G34</f>
        <v>0</v>
      </c>
      <c r="K34" s="16">
        <v>0</v>
      </c>
      <c r="L34" s="16">
        <f>F34*K34</f>
        <v>0</v>
      </c>
      <c r="M34" s="27"/>
      <c r="N34" s="27" t="s">
        <v>7</v>
      </c>
      <c r="O34" s="16">
        <f>IF(N34="5",I34,0)</f>
        <v>0</v>
      </c>
      <c r="Z34" s="16">
        <f>IF(AD34=0,J34,0)</f>
        <v>0</v>
      </c>
      <c r="AA34" s="16">
        <f>IF(AD34=15,J34,0)</f>
        <v>0</v>
      </c>
      <c r="AB34" s="16">
        <f>IF(AD34=21,J34,0)</f>
        <v>0</v>
      </c>
      <c r="AD34" s="31">
        <v>21</v>
      </c>
      <c r="AE34" s="31">
        <f>G34*0</f>
        <v>0</v>
      </c>
      <c r="AF34" s="31">
        <f>G34*(1-0)</f>
        <v>0</v>
      </c>
      <c r="AM34" s="31">
        <f>F34*AE34</f>
        <v>0</v>
      </c>
      <c r="AN34" s="31">
        <f>F34*AF34</f>
        <v>0</v>
      </c>
      <c r="AO34" s="32" t="s">
        <v>224</v>
      </c>
      <c r="AP34" s="32" t="s">
        <v>238</v>
      </c>
      <c r="AQ34" s="24" t="s">
        <v>244</v>
      </c>
    </row>
    <row r="35" spans="1:43" x14ac:dyDescent="0.25">
      <c r="A35" s="5"/>
      <c r="B35" s="12"/>
      <c r="C35" s="12" t="s">
        <v>33</v>
      </c>
      <c r="D35" s="61" t="s">
        <v>139</v>
      </c>
      <c r="E35" s="62"/>
      <c r="F35" s="62"/>
      <c r="G35" s="62"/>
      <c r="H35" s="34">
        <f>SUM(H36:H36)</f>
        <v>0</v>
      </c>
      <c r="I35" s="34">
        <f>SUM(I36:I36)</f>
        <v>0</v>
      </c>
      <c r="J35" s="34">
        <f>H35+I35</f>
        <v>0</v>
      </c>
      <c r="K35" s="24"/>
      <c r="L35" s="34">
        <f>SUM(L36:L36)</f>
        <v>17.103743999999999</v>
      </c>
      <c r="M35" s="24"/>
      <c r="P35" s="34">
        <f>IF(Q35="PR",J35,SUM(O36:O36))</f>
        <v>0</v>
      </c>
      <c r="Q35" s="24" t="s">
        <v>210</v>
      </c>
      <c r="R35" s="34">
        <f>IF(Q35="HS",H35,0)</f>
        <v>0</v>
      </c>
      <c r="S35" s="34">
        <f>IF(Q35="HS",I35-P35,0)</f>
        <v>0</v>
      </c>
      <c r="T35" s="34">
        <f>IF(Q35="PS",H35,0)</f>
        <v>0</v>
      </c>
      <c r="U35" s="34">
        <f>IF(Q35="PS",I35-P35,0)</f>
        <v>0</v>
      </c>
      <c r="V35" s="34">
        <f>IF(Q35="MP",H35,0)</f>
        <v>0</v>
      </c>
      <c r="W35" s="34">
        <f>IF(Q35="MP",I35-P35,0)</f>
        <v>0</v>
      </c>
      <c r="X35" s="34">
        <f>IF(Q35="OM",H35,0)</f>
        <v>0</v>
      </c>
      <c r="Y35" s="24"/>
      <c r="AI35" s="34">
        <f>SUM(Z36:Z36)</f>
        <v>0</v>
      </c>
      <c r="AJ35" s="34">
        <f>SUM(AA36:AA36)</f>
        <v>0</v>
      </c>
      <c r="AK35" s="34">
        <f>SUM(AB36:AB36)</f>
        <v>0</v>
      </c>
    </row>
    <row r="36" spans="1:43" x14ac:dyDescent="0.25">
      <c r="A36" s="4" t="s">
        <v>22</v>
      </c>
      <c r="B36" s="4"/>
      <c r="C36" s="4" t="s">
        <v>71</v>
      </c>
      <c r="D36" s="4" t="s">
        <v>140</v>
      </c>
      <c r="E36" s="4" t="s">
        <v>190</v>
      </c>
      <c r="F36" s="16">
        <v>9.6</v>
      </c>
      <c r="G36" s="16"/>
      <c r="H36" s="16">
        <f>F36*AE36</f>
        <v>0</v>
      </c>
      <c r="I36" s="16">
        <f>J36-H36</f>
        <v>0</v>
      </c>
      <c r="J36" s="16">
        <f>F36*G36</f>
        <v>0</v>
      </c>
      <c r="K36" s="16">
        <v>1.7816399999999999</v>
      </c>
      <c r="L36" s="16">
        <f>F36*K36</f>
        <v>17.103743999999999</v>
      </c>
      <c r="M36" s="27"/>
      <c r="N36" s="27" t="s">
        <v>7</v>
      </c>
      <c r="O36" s="16">
        <f>IF(N36="5",I36,0)</f>
        <v>0</v>
      </c>
      <c r="Z36" s="16">
        <f>IF(AD36=0,J36,0)</f>
        <v>0</v>
      </c>
      <c r="AA36" s="16">
        <f>IF(AD36=15,J36,0)</f>
        <v>0</v>
      </c>
      <c r="AB36" s="16">
        <f>IF(AD36=21,J36,0)</f>
        <v>0</v>
      </c>
      <c r="AD36" s="31">
        <v>21</v>
      </c>
      <c r="AE36" s="31">
        <f>G36*0.65732044198895</f>
        <v>0</v>
      </c>
      <c r="AF36" s="31">
        <f>G36*(1-0.65732044198895)</f>
        <v>0</v>
      </c>
      <c r="AM36" s="31">
        <f>F36*AE36</f>
        <v>0</v>
      </c>
      <c r="AN36" s="31">
        <f>F36*AF36</f>
        <v>0</v>
      </c>
      <c r="AO36" s="32" t="s">
        <v>225</v>
      </c>
      <c r="AP36" s="32" t="s">
        <v>239</v>
      </c>
      <c r="AQ36" s="24" t="s">
        <v>244</v>
      </c>
    </row>
    <row r="37" spans="1:43" x14ac:dyDescent="0.25">
      <c r="A37" s="5"/>
      <c r="B37" s="12"/>
      <c r="C37" s="12" t="s">
        <v>38</v>
      </c>
      <c r="D37" s="61" t="s">
        <v>141</v>
      </c>
      <c r="E37" s="62"/>
      <c r="F37" s="62"/>
      <c r="G37" s="62"/>
      <c r="H37" s="34">
        <f>SUM(H38:H38)</f>
        <v>0</v>
      </c>
      <c r="I37" s="34">
        <f>SUM(I38:I38)</f>
        <v>0</v>
      </c>
      <c r="J37" s="34">
        <f>H37+I37</f>
        <v>0</v>
      </c>
      <c r="K37" s="24"/>
      <c r="L37" s="34">
        <f>SUM(L38:L38)</f>
        <v>164.13320880000001</v>
      </c>
      <c r="M37" s="24"/>
      <c r="P37" s="34">
        <f>IF(Q37="PR",J37,SUM(O38:O38))</f>
        <v>0</v>
      </c>
      <c r="Q37" s="24" t="s">
        <v>210</v>
      </c>
      <c r="R37" s="34">
        <f>IF(Q37="HS",H37,0)</f>
        <v>0</v>
      </c>
      <c r="S37" s="34">
        <f>IF(Q37="HS",I37-P37,0)</f>
        <v>0</v>
      </c>
      <c r="T37" s="34">
        <f>IF(Q37="PS",H37,0)</f>
        <v>0</v>
      </c>
      <c r="U37" s="34">
        <f>IF(Q37="PS",I37-P37,0)</f>
        <v>0</v>
      </c>
      <c r="V37" s="34">
        <f>IF(Q37="MP",H37,0)</f>
        <v>0</v>
      </c>
      <c r="W37" s="34">
        <f>IF(Q37="MP",I37-P37,0)</f>
        <v>0</v>
      </c>
      <c r="X37" s="34">
        <f>IF(Q37="OM",H37,0)</f>
        <v>0</v>
      </c>
      <c r="Y37" s="24"/>
      <c r="AI37" s="34">
        <f>SUM(Z38:Z38)</f>
        <v>0</v>
      </c>
      <c r="AJ37" s="34">
        <f>SUM(AA38:AA38)</f>
        <v>0</v>
      </c>
      <c r="AK37" s="34">
        <f>SUM(AB38:AB38)</f>
        <v>0</v>
      </c>
    </row>
    <row r="38" spans="1:43" x14ac:dyDescent="0.25">
      <c r="A38" s="4" t="s">
        <v>23</v>
      </c>
      <c r="B38" s="4"/>
      <c r="C38" s="4" t="s">
        <v>72</v>
      </c>
      <c r="D38" s="4" t="s">
        <v>142</v>
      </c>
      <c r="E38" s="4" t="s">
        <v>190</v>
      </c>
      <c r="F38" s="16">
        <v>70.319999999999993</v>
      </c>
      <c r="G38" s="16"/>
      <c r="H38" s="16">
        <f>F38*AE38</f>
        <v>0</v>
      </c>
      <c r="I38" s="16">
        <f>J38-H38</f>
        <v>0</v>
      </c>
      <c r="J38" s="16">
        <f>F38*G38</f>
        <v>0</v>
      </c>
      <c r="K38" s="16">
        <v>2.3340900000000002</v>
      </c>
      <c r="L38" s="16">
        <f>F38*K38</f>
        <v>164.13320880000001</v>
      </c>
      <c r="M38" s="27"/>
      <c r="N38" s="27" t="s">
        <v>7</v>
      </c>
      <c r="O38" s="16">
        <f>IF(N38="5",I38,0)</f>
        <v>0</v>
      </c>
      <c r="Z38" s="16">
        <f>IF(AD38=0,J38,0)</f>
        <v>0</v>
      </c>
      <c r="AA38" s="16">
        <f>IF(AD38=15,J38,0)</f>
        <v>0</v>
      </c>
      <c r="AB38" s="16">
        <f>IF(AD38=21,J38,0)</f>
        <v>0</v>
      </c>
      <c r="AD38" s="31">
        <v>21</v>
      </c>
      <c r="AE38" s="31">
        <f>G38*0.887035354984585</f>
        <v>0</v>
      </c>
      <c r="AF38" s="31">
        <f>G38*(1-0.887035354984585)</f>
        <v>0</v>
      </c>
      <c r="AM38" s="31">
        <f>F38*AE38</f>
        <v>0</v>
      </c>
      <c r="AN38" s="31">
        <f>F38*AF38</f>
        <v>0</v>
      </c>
      <c r="AO38" s="32" t="s">
        <v>226</v>
      </c>
      <c r="AP38" s="32" t="s">
        <v>240</v>
      </c>
      <c r="AQ38" s="24" t="s">
        <v>244</v>
      </c>
    </row>
    <row r="39" spans="1:43" x14ac:dyDescent="0.25">
      <c r="D39" s="14" t="s">
        <v>143</v>
      </c>
    </row>
    <row r="40" spans="1:43" x14ac:dyDescent="0.25">
      <c r="A40" s="5"/>
      <c r="B40" s="12"/>
      <c r="C40" s="12" t="s">
        <v>40</v>
      </c>
      <c r="D40" s="61" t="s">
        <v>144</v>
      </c>
      <c r="E40" s="62"/>
      <c r="F40" s="62"/>
      <c r="G40" s="62"/>
      <c r="H40" s="34">
        <f>SUM(H41:H41)</f>
        <v>0</v>
      </c>
      <c r="I40" s="34">
        <f>SUM(I41:I41)</f>
        <v>0</v>
      </c>
      <c r="J40" s="34">
        <f>H40+I40</f>
        <v>0</v>
      </c>
      <c r="K40" s="24"/>
      <c r="L40" s="34">
        <f>SUM(L41:L41)</f>
        <v>0.64151999999999998</v>
      </c>
      <c r="M40" s="24"/>
      <c r="P40" s="34">
        <f>IF(Q40="PR",J40,SUM(O41:O41))</f>
        <v>0</v>
      </c>
      <c r="Q40" s="24" t="s">
        <v>210</v>
      </c>
      <c r="R40" s="34">
        <f>IF(Q40="HS",H40,0)</f>
        <v>0</v>
      </c>
      <c r="S40" s="34">
        <f>IF(Q40="HS",I40-P40,0)</f>
        <v>0</v>
      </c>
      <c r="T40" s="34">
        <f>IF(Q40="PS",H40,0)</f>
        <v>0</v>
      </c>
      <c r="U40" s="34">
        <f>IF(Q40="PS",I40-P40,0)</f>
        <v>0</v>
      </c>
      <c r="V40" s="34">
        <f>IF(Q40="MP",H40,0)</f>
        <v>0</v>
      </c>
      <c r="W40" s="34">
        <f>IF(Q40="MP",I40-P40,0)</f>
        <v>0</v>
      </c>
      <c r="X40" s="34">
        <f>IF(Q40="OM",H40,0)</f>
        <v>0</v>
      </c>
      <c r="Y40" s="24"/>
      <c r="AI40" s="34">
        <f>SUM(Z41:Z41)</f>
        <v>0</v>
      </c>
      <c r="AJ40" s="34">
        <f>SUM(AA41:AA41)</f>
        <v>0</v>
      </c>
      <c r="AK40" s="34">
        <f>SUM(AB41:AB41)</f>
        <v>0</v>
      </c>
    </row>
    <row r="41" spans="1:43" x14ac:dyDescent="0.25">
      <c r="A41" s="4" t="s">
        <v>24</v>
      </c>
      <c r="B41" s="4"/>
      <c r="C41" s="4" t="s">
        <v>73</v>
      </c>
      <c r="D41" s="4" t="s">
        <v>145</v>
      </c>
      <c r="E41" s="4" t="s">
        <v>187</v>
      </c>
      <c r="F41" s="16">
        <v>24</v>
      </c>
      <c r="G41" s="16"/>
      <c r="H41" s="16">
        <f>F41*AE41</f>
        <v>0</v>
      </c>
      <c r="I41" s="16">
        <f>J41-H41</f>
        <v>0</v>
      </c>
      <c r="J41" s="16">
        <f>F41*G41</f>
        <v>0</v>
      </c>
      <c r="K41" s="16">
        <v>2.673E-2</v>
      </c>
      <c r="L41" s="16">
        <f>F41*K41</f>
        <v>0.64151999999999998</v>
      </c>
      <c r="M41" s="27"/>
      <c r="N41" s="27" t="s">
        <v>7</v>
      </c>
      <c r="O41" s="16">
        <f>IF(N41="5",I41,0)</f>
        <v>0</v>
      </c>
      <c r="Z41" s="16">
        <f>IF(AD41=0,J41,0)</f>
        <v>0</v>
      </c>
      <c r="AA41" s="16">
        <f>IF(AD41=15,J41,0)</f>
        <v>0</v>
      </c>
      <c r="AB41" s="16">
        <f>IF(AD41=21,J41,0)</f>
        <v>0</v>
      </c>
      <c r="AD41" s="31">
        <v>21</v>
      </c>
      <c r="AE41" s="31">
        <f>G41*0.797730263157895</f>
        <v>0</v>
      </c>
      <c r="AF41" s="31">
        <f>G41*(1-0.797730263157895)</f>
        <v>0</v>
      </c>
      <c r="AM41" s="31">
        <f>F41*AE41</f>
        <v>0</v>
      </c>
      <c r="AN41" s="31">
        <f>F41*AF41</f>
        <v>0</v>
      </c>
      <c r="AO41" s="32" t="s">
        <v>227</v>
      </c>
      <c r="AP41" s="32" t="s">
        <v>240</v>
      </c>
      <c r="AQ41" s="24" t="s">
        <v>244</v>
      </c>
    </row>
    <row r="42" spans="1:43" x14ac:dyDescent="0.25">
      <c r="A42" s="5"/>
      <c r="B42" s="12"/>
      <c r="C42" s="12" t="s">
        <v>74</v>
      </c>
      <c r="D42" s="61" t="s">
        <v>146</v>
      </c>
      <c r="E42" s="62"/>
      <c r="F42" s="62"/>
      <c r="G42" s="62"/>
      <c r="H42" s="34">
        <f>SUM(H43:H45)</f>
        <v>0</v>
      </c>
      <c r="I42" s="34">
        <f>SUM(I43:I45)</f>
        <v>0</v>
      </c>
      <c r="J42" s="34">
        <f>H42+I42</f>
        <v>0</v>
      </c>
      <c r="K42" s="24"/>
      <c r="L42" s="34">
        <f>SUM(L43:L45)</f>
        <v>1485.2533599999999</v>
      </c>
      <c r="M42" s="24"/>
      <c r="P42" s="34">
        <f>IF(Q42="PR",J42,SUM(O43:O45))</f>
        <v>0</v>
      </c>
      <c r="Q42" s="24" t="s">
        <v>210</v>
      </c>
      <c r="R42" s="34">
        <f>IF(Q42="HS",H42,0)</f>
        <v>0</v>
      </c>
      <c r="S42" s="34">
        <f>IF(Q42="HS",I42-P42,0)</f>
        <v>0</v>
      </c>
      <c r="T42" s="34">
        <f>IF(Q42="PS",H42,0)</f>
        <v>0</v>
      </c>
      <c r="U42" s="34">
        <f>IF(Q42="PS",I42-P42,0)</f>
        <v>0</v>
      </c>
      <c r="V42" s="34">
        <f>IF(Q42="MP",H42,0)</f>
        <v>0</v>
      </c>
      <c r="W42" s="34">
        <f>IF(Q42="MP",I42-P42,0)</f>
        <v>0</v>
      </c>
      <c r="X42" s="34">
        <f>IF(Q42="OM",H42,0)</f>
        <v>0</v>
      </c>
      <c r="Y42" s="24"/>
      <c r="AI42" s="34">
        <f>SUM(Z43:Z45)</f>
        <v>0</v>
      </c>
      <c r="AJ42" s="34">
        <f>SUM(AA43:AA45)</f>
        <v>0</v>
      </c>
      <c r="AK42" s="34">
        <f>SUM(AB43:AB45)</f>
        <v>0</v>
      </c>
    </row>
    <row r="43" spans="1:43" x14ac:dyDescent="0.25">
      <c r="A43" s="4" t="s">
        <v>25</v>
      </c>
      <c r="B43" s="4"/>
      <c r="C43" s="4" t="s">
        <v>75</v>
      </c>
      <c r="D43" s="4" t="s">
        <v>147</v>
      </c>
      <c r="E43" s="4" t="s">
        <v>188</v>
      </c>
      <c r="F43" s="16">
        <v>1073.5</v>
      </c>
      <c r="G43" s="16"/>
      <c r="H43" s="16">
        <f>F43*AE43</f>
        <v>0</v>
      </c>
      <c r="I43" s="16">
        <f>J43-H43</f>
        <v>0</v>
      </c>
      <c r="J43" s="16">
        <f>F43*G43</f>
        <v>0</v>
      </c>
      <c r="K43" s="16">
        <v>0.71643999999999997</v>
      </c>
      <c r="L43" s="16">
        <f>F43*K43</f>
        <v>769.09834000000001</v>
      </c>
      <c r="M43" s="27"/>
      <c r="N43" s="27" t="s">
        <v>7</v>
      </c>
      <c r="O43" s="16">
        <f>IF(N43="5",I43,0)</f>
        <v>0</v>
      </c>
      <c r="Z43" s="16">
        <f>IF(AD43=0,J43,0)</f>
        <v>0</v>
      </c>
      <c r="AA43" s="16">
        <f>IF(AD43=15,J43,0)</f>
        <v>0</v>
      </c>
      <c r="AB43" s="16">
        <f>IF(AD43=21,J43,0)</f>
        <v>0</v>
      </c>
      <c r="AD43" s="31">
        <v>21</v>
      </c>
      <c r="AE43" s="31">
        <f>G43*0.823133235724744</f>
        <v>0</v>
      </c>
      <c r="AF43" s="31">
        <f>G43*(1-0.823133235724744)</f>
        <v>0</v>
      </c>
      <c r="AM43" s="31">
        <f>F43*AE43</f>
        <v>0</v>
      </c>
      <c r="AN43" s="31">
        <f>F43*AF43</f>
        <v>0</v>
      </c>
      <c r="AO43" s="32" t="s">
        <v>228</v>
      </c>
      <c r="AP43" s="32" t="s">
        <v>241</v>
      </c>
      <c r="AQ43" s="24" t="s">
        <v>244</v>
      </c>
    </row>
    <row r="44" spans="1:43" x14ac:dyDescent="0.25">
      <c r="A44" s="4" t="s">
        <v>26</v>
      </c>
      <c r="B44" s="4"/>
      <c r="C44" s="4" t="s">
        <v>76</v>
      </c>
      <c r="D44" s="4" t="s">
        <v>148</v>
      </c>
      <c r="E44" s="4" t="s">
        <v>188</v>
      </c>
      <c r="F44" s="16">
        <v>2411.5</v>
      </c>
      <c r="G44" s="16"/>
      <c r="H44" s="16">
        <f>F44*AE44</f>
        <v>0</v>
      </c>
      <c r="I44" s="16">
        <f>J44-H44</f>
        <v>0</v>
      </c>
      <c r="J44" s="16">
        <f>F44*G44</f>
        <v>0</v>
      </c>
      <c r="K44" s="16">
        <v>0.2646</v>
      </c>
      <c r="L44" s="16">
        <f>F44*K44</f>
        <v>638.0829</v>
      </c>
      <c r="M44" s="27"/>
      <c r="N44" s="27" t="s">
        <v>7</v>
      </c>
      <c r="O44" s="16">
        <f>IF(N44="5",I44,0)</f>
        <v>0</v>
      </c>
      <c r="Z44" s="16">
        <f>IF(AD44=0,J44,0)</f>
        <v>0</v>
      </c>
      <c r="AA44" s="16">
        <f>IF(AD44=15,J44,0)</f>
        <v>0</v>
      </c>
      <c r="AB44" s="16">
        <f>IF(AD44=21,J44,0)</f>
        <v>0</v>
      </c>
      <c r="AD44" s="31">
        <v>21</v>
      </c>
      <c r="AE44" s="31">
        <f>G44*0.839153846153846</f>
        <v>0</v>
      </c>
      <c r="AF44" s="31">
        <f>G44*(1-0.839153846153846)</f>
        <v>0</v>
      </c>
      <c r="AM44" s="31">
        <f>F44*AE44</f>
        <v>0</v>
      </c>
      <c r="AN44" s="31">
        <f>F44*AF44</f>
        <v>0</v>
      </c>
      <c r="AO44" s="32" t="s">
        <v>228</v>
      </c>
      <c r="AP44" s="32" t="s">
        <v>241</v>
      </c>
      <c r="AQ44" s="24" t="s">
        <v>244</v>
      </c>
    </row>
    <row r="45" spans="1:43" x14ac:dyDescent="0.25">
      <c r="A45" s="4" t="s">
        <v>27</v>
      </c>
      <c r="B45" s="4"/>
      <c r="C45" s="4" t="s">
        <v>77</v>
      </c>
      <c r="D45" s="4" t="s">
        <v>149</v>
      </c>
      <c r="E45" s="4" t="s">
        <v>188</v>
      </c>
      <c r="F45" s="16">
        <v>644</v>
      </c>
      <c r="G45" s="16"/>
      <c r="H45" s="16">
        <f>F45*AE45</f>
        <v>0</v>
      </c>
      <c r="I45" s="16">
        <f>J45-H45</f>
        <v>0</v>
      </c>
      <c r="J45" s="16">
        <f>F45*G45</f>
        <v>0</v>
      </c>
      <c r="K45" s="16">
        <v>0.12123</v>
      </c>
      <c r="L45" s="16">
        <f>F45*K45</f>
        <v>78.072119999999998</v>
      </c>
      <c r="M45" s="27"/>
      <c r="N45" s="27" t="s">
        <v>7</v>
      </c>
      <c r="O45" s="16">
        <f>IF(N45="5",I45,0)</f>
        <v>0</v>
      </c>
      <c r="Z45" s="16">
        <f>IF(AD45=0,J45,0)</f>
        <v>0</v>
      </c>
      <c r="AA45" s="16">
        <f>IF(AD45=15,J45,0)</f>
        <v>0</v>
      </c>
      <c r="AB45" s="16">
        <f>IF(AD45=21,J45,0)</f>
        <v>0</v>
      </c>
      <c r="AD45" s="31">
        <v>21</v>
      </c>
      <c r="AE45" s="31">
        <f>G45*0.687547169811321</f>
        <v>0</v>
      </c>
      <c r="AF45" s="31">
        <f>G45*(1-0.687547169811321)</f>
        <v>0</v>
      </c>
      <c r="AM45" s="31">
        <f>F45*AE45</f>
        <v>0</v>
      </c>
      <c r="AN45" s="31">
        <f>F45*AF45</f>
        <v>0</v>
      </c>
      <c r="AO45" s="32" t="s">
        <v>228</v>
      </c>
      <c r="AP45" s="32" t="s">
        <v>241</v>
      </c>
      <c r="AQ45" s="24" t="s">
        <v>244</v>
      </c>
    </row>
    <row r="46" spans="1:43" x14ac:dyDescent="0.25">
      <c r="A46" s="5"/>
      <c r="B46" s="12"/>
      <c r="C46" s="12" t="s">
        <v>78</v>
      </c>
      <c r="D46" s="61" t="s">
        <v>150</v>
      </c>
      <c r="E46" s="62"/>
      <c r="F46" s="62"/>
      <c r="G46" s="62"/>
      <c r="H46" s="34">
        <f>SUM(H47:H51)</f>
        <v>0</v>
      </c>
      <c r="I46" s="34">
        <f>SUM(I47:I51)</f>
        <v>0</v>
      </c>
      <c r="J46" s="34">
        <f>H46+I46</f>
        <v>0</v>
      </c>
      <c r="K46" s="24"/>
      <c r="L46" s="34">
        <f>SUM(L47:L51)</f>
        <v>614.89162499999998</v>
      </c>
      <c r="M46" s="24"/>
      <c r="P46" s="34">
        <f>IF(Q46="PR",J46,SUM(O47:O51))</f>
        <v>0</v>
      </c>
      <c r="Q46" s="24" t="s">
        <v>210</v>
      </c>
      <c r="R46" s="34">
        <f>IF(Q46="HS",H46,0)</f>
        <v>0</v>
      </c>
      <c r="S46" s="34">
        <f>IF(Q46="HS",I46-P46,0)</f>
        <v>0</v>
      </c>
      <c r="T46" s="34">
        <f>IF(Q46="PS",H46,0)</f>
        <v>0</v>
      </c>
      <c r="U46" s="34">
        <f>IF(Q46="PS",I46-P46,0)</f>
        <v>0</v>
      </c>
      <c r="V46" s="34">
        <f>IF(Q46="MP",H46,0)</f>
        <v>0</v>
      </c>
      <c r="W46" s="34">
        <f>IF(Q46="MP",I46-P46,0)</f>
        <v>0</v>
      </c>
      <c r="X46" s="34">
        <f>IF(Q46="OM",H46,0)</f>
        <v>0</v>
      </c>
      <c r="Y46" s="24"/>
      <c r="AI46" s="34">
        <f>SUM(Z47:Z51)</f>
        <v>0</v>
      </c>
      <c r="AJ46" s="34">
        <f>SUM(AA47:AA51)</f>
        <v>0</v>
      </c>
      <c r="AK46" s="34">
        <f>SUM(AB47:AB51)</f>
        <v>0</v>
      </c>
    </row>
    <row r="47" spans="1:43" x14ac:dyDescent="0.25">
      <c r="A47" s="4" t="s">
        <v>28</v>
      </c>
      <c r="B47" s="4"/>
      <c r="C47" s="4" t="s">
        <v>79</v>
      </c>
      <c r="D47" s="4" t="s">
        <v>151</v>
      </c>
      <c r="E47" s="4" t="s">
        <v>188</v>
      </c>
      <c r="F47" s="16">
        <v>2026.5</v>
      </c>
      <c r="G47" s="16"/>
      <c r="H47" s="16">
        <f>F47*AE47</f>
        <v>0</v>
      </c>
      <c r="I47" s="16">
        <f>J47-H47</f>
        <v>0</v>
      </c>
      <c r="J47" s="16">
        <f>F47*G47</f>
        <v>0</v>
      </c>
      <c r="K47" s="16">
        <v>1.0619999999999999E-2</v>
      </c>
      <c r="L47" s="16">
        <f>F47*K47</f>
        <v>21.521429999999999</v>
      </c>
      <c r="M47" s="27"/>
      <c r="N47" s="27" t="s">
        <v>7</v>
      </c>
      <c r="O47" s="16">
        <f>IF(N47="5",I47,0)</f>
        <v>0</v>
      </c>
      <c r="Z47" s="16">
        <f>IF(AD47=0,J47,0)</f>
        <v>0</v>
      </c>
      <c r="AA47" s="16">
        <f>IF(AD47=15,J47,0)</f>
        <v>0</v>
      </c>
      <c r="AB47" s="16">
        <f>IF(AD47=21,J47,0)</f>
        <v>0</v>
      </c>
      <c r="AD47" s="31">
        <v>21</v>
      </c>
      <c r="AE47" s="31">
        <f>G47*0.561761546723953</f>
        <v>0</v>
      </c>
      <c r="AF47" s="31">
        <f>G47*(1-0.561761546723953)</f>
        <v>0</v>
      </c>
      <c r="AM47" s="31">
        <f>F47*AE47</f>
        <v>0</v>
      </c>
      <c r="AN47" s="31">
        <f>F47*AF47</f>
        <v>0</v>
      </c>
      <c r="AO47" s="32" t="s">
        <v>229</v>
      </c>
      <c r="AP47" s="32" t="s">
        <v>241</v>
      </c>
      <c r="AQ47" s="24" t="s">
        <v>244</v>
      </c>
    </row>
    <row r="48" spans="1:43" x14ac:dyDescent="0.25">
      <c r="A48" s="4" t="s">
        <v>29</v>
      </c>
      <c r="B48" s="4"/>
      <c r="C48" s="4" t="s">
        <v>80</v>
      </c>
      <c r="D48" s="4" t="s">
        <v>152</v>
      </c>
      <c r="E48" s="4" t="s">
        <v>188</v>
      </c>
      <c r="F48" s="16">
        <v>1380.5</v>
      </c>
      <c r="G48" s="16"/>
      <c r="H48" s="16">
        <f>F48*AE48</f>
        <v>0</v>
      </c>
      <c r="I48" s="16">
        <f>J48-H48</f>
        <v>0</v>
      </c>
      <c r="J48" s="16">
        <f>F48*G48</f>
        <v>0</v>
      </c>
      <c r="K48" s="16">
        <v>0.15559000000000001</v>
      </c>
      <c r="L48" s="16">
        <f>F48*K48</f>
        <v>214.79199500000001</v>
      </c>
      <c r="M48" s="27"/>
      <c r="N48" s="27" t="s">
        <v>7</v>
      </c>
      <c r="O48" s="16">
        <f>IF(N48="5",I48,0)</f>
        <v>0</v>
      </c>
      <c r="Z48" s="16">
        <f>IF(AD48=0,J48,0)</f>
        <v>0</v>
      </c>
      <c r="AA48" s="16">
        <f>IF(AD48=15,J48,0)</f>
        <v>0</v>
      </c>
      <c r="AB48" s="16">
        <f>IF(AD48=21,J48,0)</f>
        <v>0</v>
      </c>
      <c r="AD48" s="31">
        <v>21</v>
      </c>
      <c r="AE48" s="31">
        <f>G48*0.888456549935149</f>
        <v>0</v>
      </c>
      <c r="AF48" s="31">
        <f>G48*(1-0.888456549935149)</f>
        <v>0</v>
      </c>
      <c r="AM48" s="31">
        <f>F48*AE48</f>
        <v>0</v>
      </c>
      <c r="AN48" s="31">
        <f>F48*AF48</f>
        <v>0</v>
      </c>
      <c r="AO48" s="32" t="s">
        <v>229</v>
      </c>
      <c r="AP48" s="32" t="s">
        <v>241</v>
      </c>
      <c r="AQ48" s="24" t="s">
        <v>244</v>
      </c>
    </row>
    <row r="49" spans="1:43" x14ac:dyDescent="0.25">
      <c r="A49" s="4" t="s">
        <v>30</v>
      </c>
      <c r="B49" s="4"/>
      <c r="C49" s="4" t="s">
        <v>81</v>
      </c>
      <c r="D49" s="4" t="s">
        <v>153</v>
      </c>
      <c r="E49" s="4" t="s">
        <v>188</v>
      </c>
      <c r="F49" s="16">
        <v>2348.5</v>
      </c>
      <c r="G49" s="16"/>
      <c r="H49" s="16">
        <f>F49*AE49</f>
        <v>0</v>
      </c>
      <c r="I49" s="16">
        <f>J49-H49</f>
        <v>0</v>
      </c>
      <c r="J49" s="16">
        <f>F49*G49</f>
        <v>0</v>
      </c>
      <c r="K49" s="16">
        <v>0.15559000000000001</v>
      </c>
      <c r="L49" s="16">
        <f>F49*K49</f>
        <v>365.40311500000001</v>
      </c>
      <c r="M49" s="27"/>
      <c r="N49" s="27" t="s">
        <v>7</v>
      </c>
      <c r="O49" s="16">
        <f>IF(N49="5",I49,0)</f>
        <v>0</v>
      </c>
      <c r="Z49" s="16">
        <f>IF(AD49=0,J49,0)</f>
        <v>0</v>
      </c>
      <c r="AA49" s="16">
        <f>IF(AD49=15,J49,0)</f>
        <v>0</v>
      </c>
      <c r="AB49" s="16">
        <f>IF(AD49=21,J49,0)</f>
        <v>0</v>
      </c>
      <c r="AD49" s="31">
        <v>21</v>
      </c>
      <c r="AE49" s="31">
        <f>G49*0.629791666666667</f>
        <v>0</v>
      </c>
      <c r="AF49" s="31">
        <f>G49*(1-0.629791666666667)</f>
        <v>0</v>
      </c>
      <c r="AM49" s="31">
        <f>F49*AE49</f>
        <v>0</v>
      </c>
      <c r="AN49" s="31">
        <f>F49*AF49</f>
        <v>0</v>
      </c>
      <c r="AO49" s="32" t="s">
        <v>229</v>
      </c>
      <c r="AP49" s="32" t="s">
        <v>241</v>
      </c>
      <c r="AQ49" s="24" t="s">
        <v>244</v>
      </c>
    </row>
    <row r="50" spans="1:43" x14ac:dyDescent="0.25">
      <c r="D50" s="14" t="s">
        <v>154</v>
      </c>
    </row>
    <row r="51" spans="1:43" x14ac:dyDescent="0.25">
      <c r="A51" s="4" t="s">
        <v>31</v>
      </c>
      <c r="B51" s="4"/>
      <c r="C51" s="4" t="s">
        <v>82</v>
      </c>
      <c r="D51" s="4" t="s">
        <v>155</v>
      </c>
      <c r="E51" s="4" t="s">
        <v>188</v>
      </c>
      <c r="F51" s="16">
        <v>2348.5</v>
      </c>
      <c r="G51" s="16"/>
      <c r="H51" s="16">
        <f>F51*AE51</f>
        <v>0</v>
      </c>
      <c r="I51" s="16">
        <f>J51-H51</f>
        <v>0</v>
      </c>
      <c r="J51" s="16">
        <f>F51*G51</f>
        <v>0</v>
      </c>
      <c r="K51" s="16">
        <v>5.6100000000000004E-3</v>
      </c>
      <c r="L51" s="16">
        <f>F51*K51</f>
        <v>13.175085000000001</v>
      </c>
      <c r="M51" s="27"/>
      <c r="N51" s="27" t="s">
        <v>7</v>
      </c>
      <c r="O51" s="16">
        <f>IF(N51="5",I51,0)</f>
        <v>0</v>
      </c>
      <c r="Z51" s="16">
        <f>IF(AD51=0,J51,0)</f>
        <v>0</v>
      </c>
      <c r="AA51" s="16">
        <f>IF(AD51=15,J51,0)</f>
        <v>0</v>
      </c>
      <c r="AB51" s="16">
        <f>IF(AD51=21,J51,0)</f>
        <v>0</v>
      </c>
      <c r="AD51" s="31">
        <v>21</v>
      </c>
      <c r="AE51" s="31">
        <f>G51*0.867789688616641</f>
        <v>0</v>
      </c>
      <c r="AF51" s="31">
        <f>G51*(1-0.867789688616641)</f>
        <v>0</v>
      </c>
      <c r="AM51" s="31">
        <f>F51*AE51</f>
        <v>0</v>
      </c>
      <c r="AN51" s="31">
        <f>F51*AF51</f>
        <v>0</v>
      </c>
      <c r="AO51" s="32" t="s">
        <v>229</v>
      </c>
      <c r="AP51" s="32" t="s">
        <v>241</v>
      </c>
      <c r="AQ51" s="24" t="s">
        <v>244</v>
      </c>
    </row>
    <row r="52" spans="1:43" x14ac:dyDescent="0.25">
      <c r="A52" s="5"/>
      <c r="B52" s="12"/>
      <c r="C52" s="12" t="s">
        <v>83</v>
      </c>
      <c r="D52" s="61" t="s">
        <v>156</v>
      </c>
      <c r="E52" s="62"/>
      <c r="F52" s="62"/>
      <c r="G52" s="62"/>
      <c r="H52" s="34">
        <f>SUM(H53:H53)</f>
        <v>0</v>
      </c>
      <c r="I52" s="34">
        <f>SUM(I53:I53)</f>
        <v>0</v>
      </c>
      <c r="J52" s="34">
        <f>H52+I52</f>
        <v>0</v>
      </c>
      <c r="K52" s="24"/>
      <c r="L52" s="34">
        <f>SUM(L53:L53)</f>
        <v>6.72</v>
      </c>
      <c r="M52" s="24"/>
      <c r="P52" s="34">
        <f>IF(Q52="PR",J52,SUM(O53:O53))</f>
        <v>0</v>
      </c>
      <c r="Q52" s="24" t="s">
        <v>210</v>
      </c>
      <c r="R52" s="34">
        <f>IF(Q52="HS",H52,0)</f>
        <v>0</v>
      </c>
      <c r="S52" s="34">
        <f>IF(Q52="HS",I52-P52,0)</f>
        <v>0</v>
      </c>
      <c r="T52" s="34">
        <f>IF(Q52="PS",H52,0)</f>
        <v>0</v>
      </c>
      <c r="U52" s="34">
        <f>IF(Q52="PS",I52-P52,0)</f>
        <v>0</v>
      </c>
      <c r="V52" s="34">
        <f>IF(Q52="MP",H52,0)</f>
        <v>0</v>
      </c>
      <c r="W52" s="34">
        <f>IF(Q52="MP",I52-P52,0)</f>
        <v>0</v>
      </c>
      <c r="X52" s="34">
        <f>IF(Q52="OM",H52,0)</f>
        <v>0</v>
      </c>
      <c r="Y52" s="24"/>
      <c r="AI52" s="34">
        <f>SUM(Z53:Z53)</f>
        <v>0</v>
      </c>
      <c r="AJ52" s="34">
        <f>SUM(AA53:AA53)</f>
        <v>0</v>
      </c>
      <c r="AK52" s="34">
        <f>SUM(AB53:AB53)</f>
        <v>0</v>
      </c>
    </row>
    <row r="53" spans="1:43" x14ac:dyDescent="0.25">
      <c r="A53" s="4" t="s">
        <v>32</v>
      </c>
      <c r="B53" s="4"/>
      <c r="C53" s="4" t="s">
        <v>84</v>
      </c>
      <c r="D53" s="4" t="s">
        <v>157</v>
      </c>
      <c r="E53" s="4" t="s">
        <v>187</v>
      </c>
      <c r="F53" s="16">
        <v>16</v>
      </c>
      <c r="G53" s="16"/>
      <c r="H53" s="16">
        <f>F53*AE53</f>
        <v>0</v>
      </c>
      <c r="I53" s="16">
        <f>J53-H53</f>
        <v>0</v>
      </c>
      <c r="J53" s="16">
        <f>F53*G53</f>
        <v>0</v>
      </c>
      <c r="K53" s="16">
        <v>0.42</v>
      </c>
      <c r="L53" s="16">
        <f>F53*K53</f>
        <v>6.72</v>
      </c>
      <c r="M53" s="27"/>
      <c r="N53" s="27" t="s">
        <v>7</v>
      </c>
      <c r="O53" s="16">
        <f>IF(N53="5",I53,0)</f>
        <v>0</v>
      </c>
      <c r="Z53" s="16">
        <f>IF(AD53=0,J53,0)</f>
        <v>0</v>
      </c>
      <c r="AA53" s="16">
        <f>IF(AD53=15,J53,0)</f>
        <v>0</v>
      </c>
      <c r="AB53" s="16">
        <f>IF(AD53=21,J53,0)</f>
        <v>0</v>
      </c>
      <c r="AD53" s="31">
        <v>21</v>
      </c>
      <c r="AE53" s="31">
        <f>G53*0.882979985174203</f>
        <v>0</v>
      </c>
      <c r="AF53" s="31">
        <f>G53*(1-0.882979985174203)</f>
        <v>0</v>
      </c>
      <c r="AM53" s="31">
        <f>F53*AE53</f>
        <v>0</v>
      </c>
      <c r="AN53" s="31">
        <f>F53*AF53</f>
        <v>0</v>
      </c>
      <c r="AO53" s="32" t="s">
        <v>230</v>
      </c>
      <c r="AP53" s="32" t="s">
        <v>241</v>
      </c>
      <c r="AQ53" s="24" t="s">
        <v>244</v>
      </c>
    </row>
    <row r="54" spans="1:43" x14ac:dyDescent="0.25">
      <c r="A54" s="5"/>
      <c r="B54" s="12"/>
      <c r="C54" s="12" t="s">
        <v>85</v>
      </c>
      <c r="D54" s="61"/>
      <c r="E54" s="62"/>
      <c r="F54" s="62"/>
      <c r="G54" s="62"/>
      <c r="H54" s="34">
        <f>SUM(H55:H55)</f>
        <v>0</v>
      </c>
      <c r="I54" s="34">
        <f>SUM(I55:I55)</f>
        <v>0</v>
      </c>
      <c r="J54" s="34">
        <f>H54+I54</f>
        <v>0</v>
      </c>
      <c r="K54" s="24"/>
      <c r="L54" s="34">
        <f>SUM(L55:L55)</f>
        <v>4.4055900000000001</v>
      </c>
      <c r="M54" s="24"/>
      <c r="P54" s="34">
        <f>IF(Q54="PR",J54,SUM(O55:O55))</f>
        <v>0</v>
      </c>
      <c r="Q54" s="24" t="s">
        <v>210</v>
      </c>
      <c r="R54" s="34">
        <f>IF(Q54="HS",H54,0)</f>
        <v>0</v>
      </c>
      <c r="S54" s="34">
        <f>IF(Q54="HS",I54-P54,0)</f>
        <v>0</v>
      </c>
      <c r="T54" s="34">
        <f>IF(Q54="PS",H54,0)</f>
        <v>0</v>
      </c>
      <c r="U54" s="34">
        <f>IF(Q54="PS",I54-P54,0)</f>
        <v>0</v>
      </c>
      <c r="V54" s="34">
        <f>IF(Q54="MP",H54,0)</f>
        <v>0</v>
      </c>
      <c r="W54" s="34">
        <f>IF(Q54="MP",I54-P54,0)</f>
        <v>0</v>
      </c>
      <c r="X54" s="34">
        <f>IF(Q54="OM",H54,0)</f>
        <v>0</v>
      </c>
      <c r="Y54" s="24"/>
      <c r="AI54" s="34">
        <f>SUM(Z55:Z55)</f>
        <v>0</v>
      </c>
      <c r="AJ54" s="34">
        <f>SUM(AA55:AA55)</f>
        <v>0</v>
      </c>
      <c r="AK54" s="34">
        <f>SUM(AB55:AB55)</f>
        <v>0</v>
      </c>
    </row>
    <row r="55" spans="1:43" x14ac:dyDescent="0.25">
      <c r="A55" s="4" t="s">
        <v>33</v>
      </c>
      <c r="B55" s="4"/>
      <c r="C55" s="4" t="s">
        <v>86</v>
      </c>
      <c r="D55" s="4" t="s">
        <v>158</v>
      </c>
      <c r="E55" s="4" t="s">
        <v>188</v>
      </c>
      <c r="F55" s="16">
        <v>88.2</v>
      </c>
      <c r="G55" s="16"/>
      <c r="H55" s="16">
        <f>F55*AE55</f>
        <v>0</v>
      </c>
      <c r="I55" s="16">
        <f>J55-H55</f>
        <v>0</v>
      </c>
      <c r="J55" s="16">
        <f>F55*G55</f>
        <v>0</v>
      </c>
      <c r="K55" s="16">
        <v>4.9950000000000001E-2</v>
      </c>
      <c r="L55" s="16">
        <f>F55*K55</f>
        <v>4.4055900000000001</v>
      </c>
      <c r="M55" s="27"/>
      <c r="N55" s="27" t="s">
        <v>7</v>
      </c>
      <c r="O55" s="16">
        <f>IF(N55="5",I55,0)</f>
        <v>0</v>
      </c>
      <c r="Z55" s="16">
        <f>IF(AD55=0,J55,0)</f>
        <v>0</v>
      </c>
      <c r="AA55" s="16">
        <f>IF(AD55=15,J55,0)</f>
        <v>0</v>
      </c>
      <c r="AB55" s="16">
        <f>IF(AD55=21,J55,0)</f>
        <v>0</v>
      </c>
      <c r="AD55" s="31">
        <v>21</v>
      </c>
      <c r="AE55" s="31">
        <f>G55*0.863262374298028</f>
        <v>0</v>
      </c>
      <c r="AF55" s="31">
        <f>G55*(1-0.863262374298028)</f>
        <v>0</v>
      </c>
      <c r="AM55" s="31">
        <f>F55*AE55</f>
        <v>0</v>
      </c>
      <c r="AN55" s="31">
        <f>F55*AF55</f>
        <v>0</v>
      </c>
      <c r="AO55" s="32" t="s">
        <v>231</v>
      </c>
      <c r="AP55" s="32" t="s">
        <v>242</v>
      </c>
      <c r="AQ55" s="24" t="s">
        <v>244</v>
      </c>
    </row>
    <row r="56" spans="1:43" x14ac:dyDescent="0.25">
      <c r="A56" s="5"/>
      <c r="B56" s="12"/>
      <c r="C56" s="12" t="s">
        <v>87</v>
      </c>
      <c r="D56" s="61" t="s">
        <v>159</v>
      </c>
      <c r="E56" s="62"/>
      <c r="F56" s="62"/>
      <c r="G56" s="62"/>
      <c r="H56" s="34">
        <f>SUM(H57:H65)</f>
        <v>0</v>
      </c>
      <c r="I56" s="34">
        <f>SUM(I57:I65)</f>
        <v>0</v>
      </c>
      <c r="J56" s="34">
        <f>H56+I56</f>
        <v>0</v>
      </c>
      <c r="K56" s="24"/>
      <c r="L56" s="34">
        <f>SUM(L57:L65)</f>
        <v>101.121465</v>
      </c>
      <c r="M56" s="24"/>
      <c r="P56" s="34">
        <f>IF(Q56="PR",J56,SUM(O57:O65))</f>
        <v>0</v>
      </c>
      <c r="Q56" s="24" t="s">
        <v>210</v>
      </c>
      <c r="R56" s="34">
        <f>IF(Q56="HS",H56,0)</f>
        <v>0</v>
      </c>
      <c r="S56" s="34">
        <f>IF(Q56="HS",I56-P56,0)</f>
        <v>0</v>
      </c>
      <c r="T56" s="34">
        <f>IF(Q56="PS",H56,0)</f>
        <v>0</v>
      </c>
      <c r="U56" s="34">
        <f>IF(Q56="PS",I56-P56,0)</f>
        <v>0</v>
      </c>
      <c r="V56" s="34">
        <f>IF(Q56="MP",H56,0)</f>
        <v>0</v>
      </c>
      <c r="W56" s="34">
        <f>IF(Q56="MP",I56-P56,0)</f>
        <v>0</v>
      </c>
      <c r="X56" s="34">
        <f>IF(Q56="OM",H56,0)</f>
        <v>0</v>
      </c>
      <c r="Y56" s="24"/>
      <c r="AI56" s="34">
        <f>SUM(Z57:Z65)</f>
        <v>0</v>
      </c>
      <c r="AJ56" s="34">
        <f>SUM(AA57:AA65)</f>
        <v>0</v>
      </c>
      <c r="AK56" s="34">
        <f>SUM(AB57:AB65)</f>
        <v>0</v>
      </c>
    </row>
    <row r="57" spans="1:43" x14ac:dyDescent="0.25">
      <c r="A57" s="4" t="s">
        <v>34</v>
      </c>
      <c r="B57" s="4"/>
      <c r="C57" s="4" t="s">
        <v>88</v>
      </c>
      <c r="D57" s="4" t="s">
        <v>160</v>
      </c>
      <c r="E57" s="4" t="s">
        <v>189</v>
      </c>
      <c r="F57" s="16">
        <v>3</v>
      </c>
      <c r="G57" s="16"/>
      <c r="H57" s="16">
        <f t="shared" ref="H57:H65" si="0">F57*AE57</f>
        <v>0</v>
      </c>
      <c r="I57" s="16">
        <f t="shared" ref="I57:I65" si="1">J57-H57</f>
        <v>0</v>
      </c>
      <c r="J57" s="16">
        <f t="shared" ref="J57:J65" si="2">F57*G57</f>
        <v>0</v>
      </c>
      <c r="K57" s="16">
        <v>16.01276</v>
      </c>
      <c r="L57" s="16">
        <f t="shared" ref="L57:L65" si="3">F57*K57</f>
        <v>48.03828</v>
      </c>
      <c r="M57" s="27"/>
      <c r="N57" s="27" t="s">
        <v>7</v>
      </c>
      <c r="O57" s="16">
        <f t="shared" ref="O57:O65" si="4">IF(N57="5",I57,0)</f>
        <v>0</v>
      </c>
      <c r="Z57" s="16">
        <f t="shared" ref="Z57:Z65" si="5">IF(AD57=0,J57,0)</f>
        <v>0</v>
      </c>
      <c r="AA57" s="16">
        <f t="shared" ref="AA57:AA65" si="6">IF(AD57=15,J57,0)</f>
        <v>0</v>
      </c>
      <c r="AB57" s="16">
        <f t="shared" ref="AB57:AB65" si="7">IF(AD57=21,J57,0)</f>
        <v>0</v>
      </c>
      <c r="AD57" s="31">
        <v>21</v>
      </c>
      <c r="AE57" s="31">
        <f>G57*0.489623937436246</f>
        <v>0</v>
      </c>
      <c r="AF57" s="31">
        <f>G57*(1-0.489623937436246)</f>
        <v>0</v>
      </c>
      <c r="AM57" s="31">
        <f t="shared" ref="AM57:AM65" si="8">F57*AE57</f>
        <v>0</v>
      </c>
      <c r="AN57" s="31">
        <f t="shared" ref="AN57:AN65" si="9">F57*AF57</f>
        <v>0</v>
      </c>
      <c r="AO57" s="32" t="s">
        <v>232</v>
      </c>
      <c r="AP57" s="32" t="s">
        <v>243</v>
      </c>
      <c r="AQ57" s="24" t="s">
        <v>244</v>
      </c>
    </row>
    <row r="58" spans="1:43" x14ac:dyDescent="0.25">
      <c r="A58" s="4" t="s">
        <v>35</v>
      </c>
      <c r="B58" s="4"/>
      <c r="C58" s="4" t="s">
        <v>89</v>
      </c>
      <c r="D58" s="4" t="s">
        <v>161</v>
      </c>
      <c r="E58" s="4" t="s">
        <v>187</v>
      </c>
      <c r="F58" s="16">
        <v>5</v>
      </c>
      <c r="G58" s="16"/>
      <c r="H58" s="16">
        <f t="shared" si="0"/>
        <v>0</v>
      </c>
      <c r="I58" s="16">
        <f t="shared" si="1"/>
        <v>0</v>
      </c>
      <c r="J58" s="16">
        <f t="shared" si="2"/>
        <v>0</v>
      </c>
      <c r="K58" s="16">
        <v>1.32019</v>
      </c>
      <c r="L58" s="16">
        <f t="shared" si="3"/>
        <v>6.6009500000000001</v>
      </c>
      <c r="M58" s="27"/>
      <c r="N58" s="27" t="s">
        <v>7</v>
      </c>
      <c r="O58" s="16">
        <f t="shared" si="4"/>
        <v>0</v>
      </c>
      <c r="Z58" s="16">
        <f t="shared" si="5"/>
        <v>0</v>
      </c>
      <c r="AA58" s="16">
        <f t="shared" si="6"/>
        <v>0</v>
      </c>
      <c r="AB58" s="16">
        <f t="shared" si="7"/>
        <v>0</v>
      </c>
      <c r="AD58" s="31">
        <v>21</v>
      </c>
      <c r="AE58" s="31">
        <f>G58*0.668039918116684</f>
        <v>0</v>
      </c>
      <c r="AF58" s="31">
        <f>G58*(1-0.668039918116684)</f>
        <v>0</v>
      </c>
      <c r="AM58" s="31">
        <f t="shared" si="8"/>
        <v>0</v>
      </c>
      <c r="AN58" s="31">
        <f t="shared" si="9"/>
        <v>0</v>
      </c>
      <c r="AO58" s="32" t="s">
        <v>232</v>
      </c>
      <c r="AP58" s="32" t="s">
        <v>243</v>
      </c>
      <c r="AQ58" s="24" t="s">
        <v>244</v>
      </c>
    </row>
    <row r="59" spans="1:43" x14ac:dyDescent="0.25">
      <c r="A59" s="4" t="s">
        <v>36</v>
      </c>
      <c r="B59" s="4"/>
      <c r="C59" s="4" t="s">
        <v>90</v>
      </c>
      <c r="D59" s="4" t="s">
        <v>162</v>
      </c>
      <c r="E59" s="4" t="s">
        <v>189</v>
      </c>
      <c r="F59" s="16">
        <v>1</v>
      </c>
      <c r="G59" s="16"/>
      <c r="H59" s="16">
        <f t="shared" si="0"/>
        <v>0</v>
      </c>
      <c r="I59" s="16">
        <f t="shared" si="1"/>
        <v>0</v>
      </c>
      <c r="J59" s="16">
        <f t="shared" si="2"/>
        <v>0</v>
      </c>
      <c r="K59" s="16">
        <v>16.787870000000002</v>
      </c>
      <c r="L59" s="16">
        <f t="shared" si="3"/>
        <v>16.787870000000002</v>
      </c>
      <c r="M59" s="27"/>
      <c r="N59" s="27" t="s">
        <v>7</v>
      </c>
      <c r="O59" s="16">
        <f t="shared" si="4"/>
        <v>0</v>
      </c>
      <c r="Z59" s="16">
        <f t="shared" si="5"/>
        <v>0</v>
      </c>
      <c r="AA59" s="16">
        <f t="shared" si="6"/>
        <v>0</v>
      </c>
      <c r="AB59" s="16">
        <f t="shared" si="7"/>
        <v>0</v>
      </c>
      <c r="AD59" s="31">
        <v>21</v>
      </c>
      <c r="AE59" s="31">
        <f>G59*0.546522037572254</f>
        <v>0</v>
      </c>
      <c r="AF59" s="31">
        <f>G59*(1-0.546522037572254)</f>
        <v>0</v>
      </c>
      <c r="AM59" s="31">
        <f t="shared" si="8"/>
        <v>0</v>
      </c>
      <c r="AN59" s="31">
        <f t="shared" si="9"/>
        <v>0</v>
      </c>
      <c r="AO59" s="32" t="s">
        <v>232</v>
      </c>
      <c r="AP59" s="32" t="s">
        <v>243</v>
      </c>
      <c r="AQ59" s="24" t="s">
        <v>244</v>
      </c>
    </row>
    <row r="60" spans="1:43" x14ac:dyDescent="0.25">
      <c r="A60" s="4" t="s">
        <v>37</v>
      </c>
      <c r="B60" s="4"/>
      <c r="C60" s="4" t="s">
        <v>91</v>
      </c>
      <c r="D60" s="4" t="s">
        <v>163</v>
      </c>
      <c r="E60" s="4" t="s">
        <v>187</v>
      </c>
      <c r="F60" s="16">
        <v>18</v>
      </c>
      <c r="G60" s="16"/>
      <c r="H60" s="16">
        <f t="shared" si="0"/>
        <v>0</v>
      </c>
      <c r="I60" s="16">
        <f t="shared" si="1"/>
        <v>0</v>
      </c>
      <c r="J60" s="16">
        <f t="shared" si="2"/>
        <v>0</v>
      </c>
      <c r="K60" s="16">
        <v>0</v>
      </c>
      <c r="L60" s="16">
        <f t="shared" si="3"/>
        <v>0</v>
      </c>
      <c r="M60" s="27"/>
      <c r="N60" s="27" t="s">
        <v>7</v>
      </c>
      <c r="O60" s="16">
        <f t="shared" si="4"/>
        <v>0</v>
      </c>
      <c r="Z60" s="16">
        <f t="shared" si="5"/>
        <v>0</v>
      </c>
      <c r="AA60" s="16">
        <f t="shared" si="6"/>
        <v>0</v>
      </c>
      <c r="AB60" s="16">
        <f t="shared" si="7"/>
        <v>0</v>
      </c>
      <c r="AD60" s="31">
        <v>21</v>
      </c>
      <c r="AE60" s="31">
        <f>G60*0.637895602137279</f>
        <v>0</v>
      </c>
      <c r="AF60" s="31">
        <f>G60*(1-0.637895602137279)</f>
        <v>0</v>
      </c>
      <c r="AM60" s="31">
        <f t="shared" si="8"/>
        <v>0</v>
      </c>
      <c r="AN60" s="31">
        <f t="shared" si="9"/>
        <v>0</v>
      </c>
      <c r="AO60" s="32" t="s">
        <v>232</v>
      </c>
      <c r="AP60" s="32" t="s">
        <v>243</v>
      </c>
      <c r="AQ60" s="24" t="s">
        <v>244</v>
      </c>
    </row>
    <row r="61" spans="1:43" x14ac:dyDescent="0.25">
      <c r="A61" s="4" t="s">
        <v>38</v>
      </c>
      <c r="B61" s="4"/>
      <c r="C61" s="4" t="s">
        <v>92</v>
      </c>
      <c r="D61" s="4" t="s">
        <v>164</v>
      </c>
      <c r="E61" s="4" t="s">
        <v>189</v>
      </c>
      <c r="F61" s="16">
        <v>1</v>
      </c>
      <c r="G61" s="16"/>
      <c r="H61" s="16">
        <f t="shared" si="0"/>
        <v>0</v>
      </c>
      <c r="I61" s="16">
        <f t="shared" si="1"/>
        <v>0</v>
      </c>
      <c r="J61" s="16">
        <f t="shared" si="2"/>
        <v>0</v>
      </c>
      <c r="K61" s="16">
        <v>0</v>
      </c>
      <c r="L61" s="16">
        <f t="shared" si="3"/>
        <v>0</v>
      </c>
      <c r="M61" s="27"/>
      <c r="N61" s="27" t="s">
        <v>7</v>
      </c>
      <c r="O61" s="16">
        <f t="shared" si="4"/>
        <v>0</v>
      </c>
      <c r="Z61" s="16">
        <f t="shared" si="5"/>
        <v>0</v>
      </c>
      <c r="AA61" s="16">
        <f t="shared" si="6"/>
        <v>0</v>
      </c>
      <c r="AB61" s="16">
        <f t="shared" si="7"/>
        <v>0</v>
      </c>
      <c r="AD61" s="31">
        <v>21</v>
      </c>
      <c r="AE61" s="31">
        <f>G61*0</f>
        <v>0</v>
      </c>
      <c r="AF61" s="31">
        <f>G61*(1-0)</f>
        <v>0</v>
      </c>
      <c r="AM61" s="31">
        <f t="shared" si="8"/>
        <v>0</v>
      </c>
      <c r="AN61" s="31">
        <f t="shared" si="9"/>
        <v>0</v>
      </c>
      <c r="AO61" s="32" t="s">
        <v>232</v>
      </c>
      <c r="AP61" s="32" t="s">
        <v>243</v>
      </c>
      <c r="AQ61" s="24" t="s">
        <v>244</v>
      </c>
    </row>
    <row r="62" spans="1:43" x14ac:dyDescent="0.25">
      <c r="A62" s="4" t="s">
        <v>39</v>
      </c>
      <c r="B62" s="4"/>
      <c r="C62" s="4" t="s">
        <v>93</v>
      </c>
      <c r="D62" s="4" t="s">
        <v>165</v>
      </c>
      <c r="E62" s="4" t="s">
        <v>189</v>
      </c>
      <c r="F62" s="16">
        <v>2</v>
      </c>
      <c r="G62" s="16"/>
      <c r="H62" s="16">
        <f t="shared" si="0"/>
        <v>0</v>
      </c>
      <c r="I62" s="16">
        <f t="shared" si="1"/>
        <v>0</v>
      </c>
      <c r="J62" s="16">
        <f t="shared" si="2"/>
        <v>0</v>
      </c>
      <c r="K62" s="16">
        <v>6.4345699999999999</v>
      </c>
      <c r="L62" s="16">
        <f t="shared" si="3"/>
        <v>12.86914</v>
      </c>
      <c r="M62" s="27"/>
      <c r="N62" s="27" t="s">
        <v>7</v>
      </c>
      <c r="O62" s="16">
        <f t="shared" si="4"/>
        <v>0</v>
      </c>
      <c r="Z62" s="16">
        <f t="shared" si="5"/>
        <v>0</v>
      </c>
      <c r="AA62" s="16">
        <f t="shared" si="6"/>
        <v>0</v>
      </c>
      <c r="AB62" s="16">
        <f t="shared" si="7"/>
        <v>0</v>
      </c>
      <c r="AD62" s="31">
        <v>21</v>
      </c>
      <c r="AE62" s="31">
        <f>G62*0.682789237668161</f>
        <v>0</v>
      </c>
      <c r="AF62" s="31">
        <f>G62*(1-0.682789237668161)</f>
        <v>0</v>
      </c>
      <c r="AM62" s="31">
        <f t="shared" si="8"/>
        <v>0</v>
      </c>
      <c r="AN62" s="31">
        <f t="shared" si="9"/>
        <v>0</v>
      </c>
      <c r="AO62" s="32" t="s">
        <v>232</v>
      </c>
      <c r="AP62" s="32" t="s">
        <v>243</v>
      </c>
      <c r="AQ62" s="24" t="s">
        <v>244</v>
      </c>
    </row>
    <row r="63" spans="1:43" x14ac:dyDescent="0.25">
      <c r="A63" s="4" t="s">
        <v>40</v>
      </c>
      <c r="B63" s="4"/>
      <c r="C63" s="4" t="s">
        <v>94</v>
      </c>
      <c r="D63" s="4" t="s">
        <v>166</v>
      </c>
      <c r="E63" s="4" t="s">
        <v>187</v>
      </c>
      <c r="F63" s="16">
        <v>10</v>
      </c>
      <c r="G63" s="16"/>
      <c r="H63" s="16">
        <f t="shared" si="0"/>
        <v>0</v>
      </c>
      <c r="I63" s="16">
        <f t="shared" si="1"/>
        <v>0</v>
      </c>
      <c r="J63" s="16">
        <f t="shared" si="2"/>
        <v>0</v>
      </c>
      <c r="K63" s="16">
        <v>0.62472000000000005</v>
      </c>
      <c r="L63" s="16">
        <f t="shared" si="3"/>
        <v>6.2472000000000003</v>
      </c>
      <c r="M63" s="27"/>
      <c r="N63" s="27" t="s">
        <v>7</v>
      </c>
      <c r="O63" s="16">
        <f t="shared" si="4"/>
        <v>0</v>
      </c>
      <c r="Z63" s="16">
        <f t="shared" si="5"/>
        <v>0</v>
      </c>
      <c r="AA63" s="16">
        <f t="shared" si="6"/>
        <v>0</v>
      </c>
      <c r="AB63" s="16">
        <f t="shared" si="7"/>
        <v>0</v>
      </c>
      <c r="AD63" s="31">
        <v>21</v>
      </c>
      <c r="AE63" s="31">
        <f>G63*0.499034607651234</f>
        <v>0</v>
      </c>
      <c r="AF63" s="31">
        <f>G63*(1-0.499034607651234)</f>
        <v>0</v>
      </c>
      <c r="AM63" s="31">
        <f t="shared" si="8"/>
        <v>0</v>
      </c>
      <c r="AN63" s="31">
        <f t="shared" si="9"/>
        <v>0</v>
      </c>
      <c r="AO63" s="32" t="s">
        <v>232</v>
      </c>
      <c r="AP63" s="32" t="s">
        <v>243</v>
      </c>
      <c r="AQ63" s="24" t="s">
        <v>244</v>
      </c>
    </row>
    <row r="64" spans="1:43" x14ac:dyDescent="0.25">
      <c r="A64" s="4" t="s">
        <v>41</v>
      </c>
      <c r="B64" s="4"/>
      <c r="C64" s="4" t="s">
        <v>95</v>
      </c>
      <c r="D64" s="4" t="s">
        <v>167</v>
      </c>
      <c r="E64" s="4" t="s">
        <v>187</v>
      </c>
      <c r="F64" s="16">
        <v>2.5</v>
      </c>
      <c r="G64" s="16"/>
      <c r="H64" s="16">
        <f t="shared" si="0"/>
        <v>0</v>
      </c>
      <c r="I64" s="16">
        <f t="shared" si="1"/>
        <v>0</v>
      </c>
      <c r="J64" s="16">
        <f t="shared" si="2"/>
        <v>0</v>
      </c>
      <c r="K64" s="16">
        <v>1.6958299999999999</v>
      </c>
      <c r="L64" s="16">
        <f t="shared" si="3"/>
        <v>4.2395750000000003</v>
      </c>
      <c r="M64" s="27"/>
      <c r="N64" s="27" t="s">
        <v>7</v>
      </c>
      <c r="O64" s="16">
        <f t="shared" si="4"/>
        <v>0</v>
      </c>
      <c r="Z64" s="16">
        <f t="shared" si="5"/>
        <v>0</v>
      </c>
      <c r="AA64" s="16">
        <f t="shared" si="6"/>
        <v>0</v>
      </c>
      <c r="AB64" s="16">
        <f t="shared" si="7"/>
        <v>0</v>
      </c>
      <c r="AD64" s="31">
        <v>21</v>
      </c>
      <c r="AE64" s="31">
        <f>G64*0.689664825046041</f>
        <v>0</v>
      </c>
      <c r="AF64" s="31">
        <f>G64*(1-0.689664825046041)</f>
        <v>0</v>
      </c>
      <c r="AM64" s="31">
        <f t="shared" si="8"/>
        <v>0</v>
      </c>
      <c r="AN64" s="31">
        <f t="shared" si="9"/>
        <v>0</v>
      </c>
      <c r="AO64" s="32" t="s">
        <v>232</v>
      </c>
      <c r="AP64" s="32" t="s">
        <v>243</v>
      </c>
      <c r="AQ64" s="24" t="s">
        <v>244</v>
      </c>
    </row>
    <row r="65" spans="1:43" x14ac:dyDescent="0.25">
      <c r="A65" s="4" t="s">
        <v>42</v>
      </c>
      <c r="B65" s="4"/>
      <c r="C65" s="4" t="s">
        <v>96</v>
      </c>
      <c r="D65" s="4" t="s">
        <v>168</v>
      </c>
      <c r="E65" s="4" t="s">
        <v>190</v>
      </c>
      <c r="F65" s="16">
        <v>2.5</v>
      </c>
      <c r="G65" s="16"/>
      <c r="H65" s="16">
        <f t="shared" si="0"/>
        <v>0</v>
      </c>
      <c r="I65" s="16">
        <f t="shared" si="1"/>
        <v>0</v>
      </c>
      <c r="J65" s="16">
        <f t="shared" si="2"/>
        <v>0</v>
      </c>
      <c r="K65" s="16">
        <v>2.53538</v>
      </c>
      <c r="L65" s="16">
        <f t="shared" si="3"/>
        <v>6.3384499999999999</v>
      </c>
      <c r="M65" s="27"/>
      <c r="N65" s="27" t="s">
        <v>7</v>
      </c>
      <c r="O65" s="16">
        <f t="shared" si="4"/>
        <v>0</v>
      </c>
      <c r="Z65" s="16">
        <f t="shared" si="5"/>
        <v>0</v>
      </c>
      <c r="AA65" s="16">
        <f t="shared" si="6"/>
        <v>0</v>
      </c>
      <c r="AB65" s="16">
        <f t="shared" si="7"/>
        <v>0</v>
      </c>
      <c r="AD65" s="31">
        <v>21</v>
      </c>
      <c r="AE65" s="31">
        <f>G65*0.737495398160309</f>
        <v>0</v>
      </c>
      <c r="AF65" s="31">
        <f>G65*(1-0.737495398160309)</f>
        <v>0</v>
      </c>
      <c r="AM65" s="31">
        <f t="shared" si="8"/>
        <v>0</v>
      </c>
      <c r="AN65" s="31">
        <f t="shared" si="9"/>
        <v>0</v>
      </c>
      <c r="AO65" s="32" t="s">
        <v>232</v>
      </c>
      <c r="AP65" s="32" t="s">
        <v>243</v>
      </c>
      <c r="AQ65" s="24" t="s">
        <v>244</v>
      </c>
    </row>
    <row r="66" spans="1:43" x14ac:dyDescent="0.25">
      <c r="A66" s="5"/>
      <c r="B66" s="12"/>
      <c r="C66" s="12" t="s">
        <v>97</v>
      </c>
      <c r="D66" s="61" t="s">
        <v>169</v>
      </c>
      <c r="E66" s="62"/>
      <c r="F66" s="62"/>
      <c r="G66" s="62"/>
      <c r="H66" s="34">
        <f>SUM(H67:H67)</f>
        <v>0</v>
      </c>
      <c r="I66" s="34">
        <f>SUM(I67:I67)</f>
        <v>0</v>
      </c>
      <c r="J66" s="34">
        <f>H66+I66</f>
        <v>0</v>
      </c>
      <c r="K66" s="24"/>
      <c r="L66" s="34">
        <f>SUM(L67:L67)</f>
        <v>0</v>
      </c>
      <c r="M66" s="24"/>
      <c r="P66" s="34">
        <f>IF(Q66="PR",J66,SUM(O67:O67))</f>
        <v>0</v>
      </c>
      <c r="Q66" s="24" t="s">
        <v>210</v>
      </c>
      <c r="R66" s="34">
        <f>IF(Q66="HS",H66,0)</f>
        <v>0</v>
      </c>
      <c r="S66" s="34">
        <f>IF(Q66="HS",I66-P66,0)</f>
        <v>0</v>
      </c>
      <c r="T66" s="34">
        <f>IF(Q66="PS",H66,0)</f>
        <v>0</v>
      </c>
      <c r="U66" s="34">
        <f>IF(Q66="PS",I66-P66,0)</f>
        <v>0</v>
      </c>
      <c r="V66" s="34">
        <f>IF(Q66="MP",H66,0)</f>
        <v>0</v>
      </c>
      <c r="W66" s="34">
        <f>IF(Q66="MP",I66-P66,0)</f>
        <v>0</v>
      </c>
      <c r="X66" s="34">
        <f>IF(Q66="OM",H66,0)</f>
        <v>0</v>
      </c>
      <c r="Y66" s="24"/>
      <c r="AI66" s="34">
        <f>SUM(Z67:Z67)</f>
        <v>0</v>
      </c>
      <c r="AJ66" s="34">
        <f>SUM(AA67:AA67)</f>
        <v>0</v>
      </c>
      <c r="AK66" s="34">
        <f>SUM(AB67:AB67)</f>
        <v>0</v>
      </c>
    </row>
    <row r="67" spans="1:43" x14ac:dyDescent="0.25">
      <c r="A67" s="4" t="s">
        <v>43</v>
      </c>
      <c r="B67" s="4"/>
      <c r="C67" s="4" t="s">
        <v>98</v>
      </c>
      <c r="D67" s="4" t="s">
        <v>170</v>
      </c>
      <c r="E67" s="4" t="s">
        <v>187</v>
      </c>
      <c r="F67" s="16">
        <v>374</v>
      </c>
      <c r="G67" s="16"/>
      <c r="H67" s="16">
        <f>F67*AE67</f>
        <v>0</v>
      </c>
      <c r="I67" s="16">
        <f>J67-H67</f>
        <v>0</v>
      </c>
      <c r="J67" s="16">
        <f>F67*G67</f>
        <v>0</v>
      </c>
      <c r="K67" s="16">
        <v>0</v>
      </c>
      <c r="L67" s="16">
        <f>F67*K67</f>
        <v>0</v>
      </c>
      <c r="M67" s="27"/>
      <c r="N67" s="27" t="s">
        <v>7</v>
      </c>
      <c r="O67" s="16">
        <f>IF(N67="5",I67,0)</f>
        <v>0</v>
      </c>
      <c r="Z67" s="16">
        <f>IF(AD67=0,J67,0)</f>
        <v>0</v>
      </c>
      <c r="AA67" s="16">
        <f>IF(AD67=15,J67,0)</f>
        <v>0</v>
      </c>
      <c r="AB67" s="16">
        <f>IF(AD67=21,J67,0)</f>
        <v>0</v>
      </c>
      <c r="AD67" s="31">
        <v>21</v>
      </c>
      <c r="AE67" s="31">
        <f>G67*0</f>
        <v>0</v>
      </c>
      <c r="AF67" s="31">
        <f>G67*(1-0)</f>
        <v>0</v>
      </c>
      <c r="AM67" s="31">
        <f>F67*AE67</f>
        <v>0</v>
      </c>
      <c r="AN67" s="31">
        <f>F67*AF67</f>
        <v>0</v>
      </c>
      <c r="AO67" s="32" t="s">
        <v>233</v>
      </c>
      <c r="AP67" s="32" t="s">
        <v>243</v>
      </c>
      <c r="AQ67" s="24" t="s">
        <v>244</v>
      </c>
    </row>
    <row r="68" spans="1:43" x14ac:dyDescent="0.25">
      <c r="A68" s="5"/>
      <c r="B68" s="12"/>
      <c r="C68" s="12" t="s">
        <v>99</v>
      </c>
      <c r="D68" s="61" t="s">
        <v>171</v>
      </c>
      <c r="E68" s="62"/>
      <c r="F68" s="62"/>
      <c r="G68" s="62"/>
      <c r="H68" s="34">
        <f>SUM(H69:H69)</f>
        <v>0</v>
      </c>
      <c r="I68" s="34">
        <f>SUM(I69:I69)</f>
        <v>0</v>
      </c>
      <c r="J68" s="34">
        <f>H68+I68</f>
        <v>0</v>
      </c>
      <c r="K68" s="24"/>
      <c r="L68" s="34">
        <f>SUM(L69:L69)</f>
        <v>1.90764</v>
      </c>
      <c r="M68" s="24"/>
      <c r="P68" s="34">
        <f>IF(Q68="PR",J68,SUM(O69:O69))</f>
        <v>0</v>
      </c>
      <c r="Q68" s="24" t="s">
        <v>210</v>
      </c>
      <c r="R68" s="34">
        <f>IF(Q68="HS",H68,0)</f>
        <v>0</v>
      </c>
      <c r="S68" s="34">
        <f>IF(Q68="HS",I68-P68,0)</f>
        <v>0</v>
      </c>
      <c r="T68" s="34">
        <f>IF(Q68="PS",H68,0)</f>
        <v>0</v>
      </c>
      <c r="U68" s="34">
        <f>IF(Q68="PS",I68-P68,0)</f>
        <v>0</v>
      </c>
      <c r="V68" s="34">
        <f>IF(Q68="MP",H68,0)</f>
        <v>0</v>
      </c>
      <c r="W68" s="34">
        <f>IF(Q68="MP",I68-P68,0)</f>
        <v>0</v>
      </c>
      <c r="X68" s="34">
        <f>IF(Q68="OM",H68,0)</f>
        <v>0</v>
      </c>
      <c r="Y68" s="24"/>
      <c r="AI68" s="34">
        <f>SUM(Z69:Z69)</f>
        <v>0</v>
      </c>
      <c r="AJ68" s="34">
        <f>SUM(AA69:AA69)</f>
        <v>0</v>
      </c>
      <c r="AK68" s="34">
        <f>SUM(AB69:AB69)</f>
        <v>0</v>
      </c>
    </row>
    <row r="69" spans="1:43" x14ac:dyDescent="0.25">
      <c r="A69" s="4" t="s">
        <v>44</v>
      </c>
      <c r="B69" s="4"/>
      <c r="C69" s="4" t="s">
        <v>100</v>
      </c>
      <c r="D69" s="4" t="s">
        <v>172</v>
      </c>
      <c r="E69" s="4" t="s">
        <v>187</v>
      </c>
      <c r="F69" s="16">
        <v>42</v>
      </c>
      <c r="G69" s="16"/>
      <c r="H69" s="16">
        <f>F69*AE69</f>
        <v>0</v>
      </c>
      <c r="I69" s="16">
        <f>J69-H69</f>
        <v>0</v>
      </c>
      <c r="J69" s="16">
        <f>F69*G69</f>
        <v>0</v>
      </c>
      <c r="K69" s="16">
        <v>4.5420000000000002E-2</v>
      </c>
      <c r="L69" s="16">
        <f>F69*K69</f>
        <v>1.90764</v>
      </c>
      <c r="M69" s="27"/>
      <c r="N69" s="27" t="s">
        <v>7</v>
      </c>
      <c r="O69" s="16">
        <f>IF(N69="5",I69,0)</f>
        <v>0</v>
      </c>
      <c r="Z69" s="16">
        <f>IF(AD69=0,J69,0)</f>
        <v>0</v>
      </c>
      <c r="AA69" s="16">
        <f>IF(AD69=15,J69,0)</f>
        <v>0</v>
      </c>
      <c r="AB69" s="16">
        <f>IF(AD69=21,J69,0)</f>
        <v>0</v>
      </c>
      <c r="AD69" s="31">
        <v>21</v>
      </c>
      <c r="AE69" s="31">
        <f>G69*0.752525510204082</f>
        <v>0</v>
      </c>
      <c r="AF69" s="31">
        <f>G69*(1-0.752525510204082)</f>
        <v>0</v>
      </c>
      <c r="AM69" s="31">
        <f>F69*AE69</f>
        <v>0</v>
      </c>
      <c r="AN69" s="31">
        <f>F69*AF69</f>
        <v>0</v>
      </c>
      <c r="AO69" s="32" t="s">
        <v>234</v>
      </c>
      <c r="AP69" s="32" t="s">
        <v>243</v>
      </c>
      <c r="AQ69" s="24" t="s">
        <v>244</v>
      </c>
    </row>
    <row r="70" spans="1:43" x14ac:dyDescent="0.25">
      <c r="A70" s="5"/>
      <c r="B70" s="12"/>
      <c r="C70" s="12" t="s">
        <v>101</v>
      </c>
      <c r="D70" s="61"/>
      <c r="E70" s="62"/>
      <c r="F70" s="62"/>
      <c r="G70" s="62"/>
      <c r="H70" s="34">
        <f>SUM(H71:H71)</f>
        <v>0</v>
      </c>
      <c r="I70" s="34">
        <f>SUM(I71:I71)</f>
        <v>0</v>
      </c>
      <c r="J70" s="34">
        <f>H70+I70</f>
        <v>0</v>
      </c>
      <c r="K70" s="24"/>
      <c r="L70" s="34">
        <f>SUM(L71:L71)</f>
        <v>4.9000000000000004</v>
      </c>
      <c r="M70" s="24"/>
      <c r="P70" s="34">
        <f>IF(Q70="PR",J70,SUM(O71:O71))</f>
        <v>0</v>
      </c>
      <c r="Q70" s="24" t="s">
        <v>210</v>
      </c>
      <c r="R70" s="34">
        <f>IF(Q70="HS",H70,0)</f>
        <v>0</v>
      </c>
      <c r="S70" s="34">
        <f>IF(Q70="HS",I70-P70,0)</f>
        <v>0</v>
      </c>
      <c r="T70" s="34">
        <f>IF(Q70="PS",H70,0)</f>
        <v>0</v>
      </c>
      <c r="U70" s="34">
        <f>IF(Q70="PS",I70-P70,0)</f>
        <v>0</v>
      </c>
      <c r="V70" s="34">
        <f>IF(Q70="MP",H70,0)</f>
        <v>0</v>
      </c>
      <c r="W70" s="34">
        <f>IF(Q70="MP",I70-P70,0)</f>
        <v>0</v>
      </c>
      <c r="X70" s="34">
        <f>IF(Q70="OM",H70,0)</f>
        <v>0</v>
      </c>
      <c r="Y70" s="24"/>
      <c r="AI70" s="34">
        <f>SUM(Z71:Z71)</f>
        <v>0</v>
      </c>
      <c r="AJ70" s="34">
        <f>SUM(AA71:AA71)</f>
        <v>0</v>
      </c>
      <c r="AK70" s="34">
        <f>SUM(AB71:AB71)</f>
        <v>0</v>
      </c>
    </row>
    <row r="71" spans="1:43" x14ac:dyDescent="0.25">
      <c r="A71" s="4" t="s">
        <v>45</v>
      </c>
      <c r="B71" s="4"/>
      <c r="C71" s="4" t="s">
        <v>102</v>
      </c>
      <c r="D71" s="4" t="s">
        <v>173</v>
      </c>
      <c r="E71" s="4" t="s">
        <v>187</v>
      </c>
      <c r="F71" s="16">
        <v>5</v>
      </c>
      <c r="G71" s="16"/>
      <c r="H71" s="16">
        <f>F71*AE71</f>
        <v>0</v>
      </c>
      <c r="I71" s="16">
        <f>J71-H71</f>
        <v>0</v>
      </c>
      <c r="J71" s="16">
        <f>F71*G71</f>
        <v>0</v>
      </c>
      <c r="K71" s="16">
        <v>0.98</v>
      </c>
      <c r="L71" s="16">
        <f>F71*K71</f>
        <v>4.9000000000000004</v>
      </c>
      <c r="M71" s="27"/>
      <c r="N71" s="27" t="s">
        <v>7</v>
      </c>
      <c r="O71" s="16">
        <f>IF(N71="5",I71,0)</f>
        <v>0</v>
      </c>
      <c r="Z71" s="16">
        <f>IF(AD71=0,J71,0)</f>
        <v>0</v>
      </c>
      <c r="AA71" s="16">
        <f>IF(AD71=15,J71,0)</f>
        <v>0</v>
      </c>
      <c r="AB71" s="16">
        <f>IF(AD71=21,J71,0)</f>
        <v>0</v>
      </c>
      <c r="AD71" s="31">
        <v>21</v>
      </c>
      <c r="AE71" s="31">
        <f>G71*0</f>
        <v>0</v>
      </c>
      <c r="AF71" s="31">
        <f>G71*(1-0)</f>
        <v>0</v>
      </c>
      <c r="AM71" s="31">
        <f>F71*AE71</f>
        <v>0</v>
      </c>
      <c r="AN71" s="31">
        <f>F71*AF71</f>
        <v>0</v>
      </c>
      <c r="AO71" s="32" t="s">
        <v>235</v>
      </c>
      <c r="AP71" s="32" t="s">
        <v>243</v>
      </c>
      <c r="AQ71" s="24" t="s">
        <v>244</v>
      </c>
    </row>
    <row r="72" spans="1:43" x14ac:dyDescent="0.25">
      <c r="A72" s="5"/>
      <c r="B72" s="12"/>
      <c r="C72" s="12" t="s">
        <v>103</v>
      </c>
      <c r="D72" s="61" t="s">
        <v>174</v>
      </c>
      <c r="E72" s="62"/>
      <c r="F72" s="62"/>
      <c r="G72" s="62"/>
      <c r="H72" s="34">
        <f>SUM(H73:H73)</f>
        <v>0</v>
      </c>
      <c r="I72" s="34">
        <f>SUM(I73:I73)</f>
        <v>0</v>
      </c>
      <c r="J72" s="34">
        <f>H72+I72</f>
        <v>0</v>
      </c>
      <c r="K72" s="24"/>
      <c r="L72" s="34">
        <f>SUM(L73:L73)</f>
        <v>0</v>
      </c>
      <c r="M72" s="24"/>
      <c r="P72" s="34">
        <f>IF(Q72="PR",J72,SUM(O73:O73))</f>
        <v>0</v>
      </c>
      <c r="Q72" s="24" t="s">
        <v>210</v>
      </c>
      <c r="R72" s="34">
        <f>IF(Q72="HS",H72,0)</f>
        <v>0</v>
      </c>
      <c r="S72" s="34">
        <f>IF(Q72="HS",I72-P72,0)</f>
        <v>0</v>
      </c>
      <c r="T72" s="34">
        <f>IF(Q72="PS",H72,0)</f>
        <v>0</v>
      </c>
      <c r="U72" s="34">
        <f>IF(Q72="PS",I72-P72,0)</f>
        <v>0</v>
      </c>
      <c r="V72" s="34">
        <f>IF(Q72="MP",H72,0)</f>
        <v>0</v>
      </c>
      <c r="W72" s="34">
        <f>IF(Q72="MP",I72-P72,0)</f>
        <v>0</v>
      </c>
      <c r="X72" s="34">
        <f>IF(Q72="OM",H72,0)</f>
        <v>0</v>
      </c>
      <c r="Y72" s="24"/>
      <c r="AI72" s="34">
        <f>SUM(Z73:Z73)</f>
        <v>0</v>
      </c>
      <c r="AJ72" s="34">
        <f>SUM(AA73:AA73)</f>
        <v>0</v>
      </c>
      <c r="AK72" s="34">
        <f>SUM(AB73:AB73)</f>
        <v>0</v>
      </c>
    </row>
    <row r="73" spans="1:43" x14ac:dyDescent="0.25">
      <c r="A73" s="4" t="s">
        <v>46</v>
      </c>
      <c r="B73" s="4"/>
      <c r="C73" s="4" t="s">
        <v>104</v>
      </c>
      <c r="D73" s="4" t="s">
        <v>175</v>
      </c>
      <c r="E73" s="4" t="s">
        <v>191</v>
      </c>
      <c r="F73" s="16">
        <v>2677.9870000000001</v>
      </c>
      <c r="G73" s="16"/>
      <c r="H73" s="16">
        <f>F73*AE73</f>
        <v>0</v>
      </c>
      <c r="I73" s="16">
        <f>J73-H73</f>
        <v>0</v>
      </c>
      <c r="J73" s="16">
        <f>F73*G73</f>
        <v>0</v>
      </c>
      <c r="K73" s="16">
        <v>0</v>
      </c>
      <c r="L73" s="16">
        <f>F73*K73</f>
        <v>0</v>
      </c>
      <c r="M73" s="27"/>
      <c r="N73" s="27" t="s">
        <v>11</v>
      </c>
      <c r="O73" s="16">
        <f>IF(N73="5",I73,0)</f>
        <v>0</v>
      </c>
      <c r="Z73" s="16">
        <f>IF(AD73=0,J73,0)</f>
        <v>0</v>
      </c>
      <c r="AA73" s="16">
        <f>IF(AD73=15,J73,0)</f>
        <v>0</v>
      </c>
      <c r="AB73" s="16">
        <f>IF(AD73=21,J73,0)</f>
        <v>0</v>
      </c>
      <c r="AD73" s="31">
        <v>21</v>
      </c>
      <c r="AE73" s="31">
        <f>G73*0</f>
        <v>0</v>
      </c>
      <c r="AF73" s="31">
        <f>G73*(1-0)</f>
        <v>0</v>
      </c>
      <c r="AM73" s="31">
        <f>F73*AE73</f>
        <v>0</v>
      </c>
      <c r="AN73" s="31">
        <f>F73*AF73</f>
        <v>0</v>
      </c>
      <c r="AO73" s="32" t="s">
        <v>236</v>
      </c>
      <c r="AP73" s="32" t="s">
        <v>243</v>
      </c>
      <c r="AQ73" s="24" t="s">
        <v>244</v>
      </c>
    </row>
    <row r="74" spans="1:43" x14ac:dyDescent="0.25">
      <c r="A74" s="5"/>
      <c r="B74" s="12"/>
      <c r="C74" s="12" t="s">
        <v>105</v>
      </c>
      <c r="D74" s="61" t="s">
        <v>176</v>
      </c>
      <c r="E74" s="62"/>
      <c r="F74" s="62"/>
      <c r="G74" s="62"/>
      <c r="H74" s="34">
        <f>SUM(H75:H79)</f>
        <v>0</v>
      </c>
      <c r="I74" s="34">
        <f>SUM(I75:I79)</f>
        <v>0</v>
      </c>
      <c r="J74" s="34">
        <f>H74+I74</f>
        <v>0</v>
      </c>
      <c r="K74" s="24"/>
      <c r="L74" s="34">
        <f>SUM(L75:L79)</f>
        <v>0</v>
      </c>
      <c r="M74" s="24"/>
      <c r="P74" s="34">
        <f>IF(Q74="PR",J74,SUM(O75:O79))</f>
        <v>0</v>
      </c>
      <c r="Q74" s="24" t="s">
        <v>210</v>
      </c>
      <c r="R74" s="34">
        <f>IF(Q74="HS",H74,0)</f>
        <v>0</v>
      </c>
      <c r="S74" s="34">
        <f>IF(Q74="HS",I74-P74,0)</f>
        <v>0</v>
      </c>
      <c r="T74" s="34">
        <f>IF(Q74="PS",H74,0)</f>
        <v>0</v>
      </c>
      <c r="U74" s="34">
        <f>IF(Q74="PS",I74-P74,0)</f>
        <v>0</v>
      </c>
      <c r="V74" s="34">
        <f>IF(Q74="MP",H74,0)</f>
        <v>0</v>
      </c>
      <c r="W74" s="34">
        <f>IF(Q74="MP",I74-P74,0)</f>
        <v>0</v>
      </c>
      <c r="X74" s="34">
        <f>IF(Q74="OM",H74,0)</f>
        <v>0</v>
      </c>
      <c r="Y74" s="24"/>
      <c r="AI74" s="34">
        <f>SUM(Z75:Z79)</f>
        <v>0</v>
      </c>
      <c r="AJ74" s="34">
        <f>SUM(AA75:AA79)</f>
        <v>0</v>
      </c>
      <c r="AK74" s="34">
        <f>SUM(AB75:AB79)</f>
        <v>0</v>
      </c>
    </row>
    <row r="75" spans="1:43" x14ac:dyDescent="0.25">
      <c r="A75" s="4" t="s">
        <v>47</v>
      </c>
      <c r="B75" s="4"/>
      <c r="C75" s="4" t="s">
        <v>106</v>
      </c>
      <c r="D75" s="4" t="s">
        <v>177</v>
      </c>
      <c r="E75" s="4" t="s">
        <v>191</v>
      </c>
      <c r="F75" s="16">
        <v>15.94</v>
      </c>
      <c r="G75" s="16"/>
      <c r="H75" s="16">
        <f>F75*AE75</f>
        <v>0</v>
      </c>
      <c r="I75" s="16">
        <f>J75-H75</f>
        <v>0</v>
      </c>
      <c r="J75" s="16">
        <f>F75*G75</f>
        <v>0</v>
      </c>
      <c r="K75" s="16">
        <v>0</v>
      </c>
      <c r="L75" s="16">
        <f>F75*K75</f>
        <v>0</v>
      </c>
      <c r="M75" s="27"/>
      <c r="N75" s="27" t="s">
        <v>11</v>
      </c>
      <c r="O75" s="16">
        <f>IF(N75="5",I75,0)</f>
        <v>0</v>
      </c>
      <c r="Z75" s="16">
        <f>IF(AD75=0,J75,0)</f>
        <v>0</v>
      </c>
      <c r="AA75" s="16">
        <f>IF(AD75=15,J75,0)</f>
        <v>0</v>
      </c>
      <c r="AB75" s="16">
        <f>IF(AD75=21,J75,0)</f>
        <v>0</v>
      </c>
      <c r="AD75" s="31">
        <v>21</v>
      </c>
      <c r="AE75" s="31">
        <f>G75*0</f>
        <v>0</v>
      </c>
      <c r="AF75" s="31">
        <f>G75*(1-0)</f>
        <v>0</v>
      </c>
      <c r="AM75" s="31">
        <f>F75*AE75</f>
        <v>0</v>
      </c>
      <c r="AN75" s="31">
        <f>F75*AF75</f>
        <v>0</v>
      </c>
      <c r="AO75" s="32" t="s">
        <v>237</v>
      </c>
      <c r="AP75" s="32" t="s">
        <v>243</v>
      </c>
      <c r="AQ75" s="24" t="s">
        <v>244</v>
      </c>
    </row>
    <row r="76" spans="1:43" x14ac:dyDescent="0.25">
      <c r="A76" s="4" t="s">
        <v>48</v>
      </c>
      <c r="B76" s="4"/>
      <c r="C76" s="4" t="s">
        <v>107</v>
      </c>
      <c r="D76" s="4" t="s">
        <v>178</v>
      </c>
      <c r="E76" s="4" t="s">
        <v>191</v>
      </c>
      <c r="F76" s="16">
        <v>255.04</v>
      </c>
      <c r="G76" s="16"/>
      <c r="H76" s="16">
        <f>F76*AE76</f>
        <v>0</v>
      </c>
      <c r="I76" s="16">
        <f>J76-H76</f>
        <v>0</v>
      </c>
      <c r="J76" s="16">
        <f>F76*G76</f>
        <v>0</v>
      </c>
      <c r="K76" s="16">
        <v>0</v>
      </c>
      <c r="L76" s="16">
        <f>F76*K76</f>
        <v>0</v>
      </c>
      <c r="M76" s="27"/>
      <c r="N76" s="27" t="s">
        <v>11</v>
      </c>
      <c r="O76" s="16">
        <f>IF(N76="5",I76,0)</f>
        <v>0</v>
      </c>
      <c r="Z76" s="16">
        <f>IF(AD76=0,J76,0)</f>
        <v>0</v>
      </c>
      <c r="AA76" s="16">
        <f>IF(AD76=15,J76,0)</f>
        <v>0</v>
      </c>
      <c r="AB76" s="16">
        <f>IF(AD76=21,J76,0)</f>
        <v>0</v>
      </c>
      <c r="AD76" s="31">
        <v>21</v>
      </c>
      <c r="AE76" s="31">
        <f>G76*0</f>
        <v>0</v>
      </c>
      <c r="AF76" s="31">
        <f>G76*(1-0)</f>
        <v>0</v>
      </c>
      <c r="AM76" s="31">
        <f>F76*AE76</f>
        <v>0</v>
      </c>
      <c r="AN76" s="31">
        <f>F76*AF76</f>
        <v>0</v>
      </c>
      <c r="AO76" s="32" t="s">
        <v>237</v>
      </c>
      <c r="AP76" s="32" t="s">
        <v>243</v>
      </c>
      <c r="AQ76" s="24" t="s">
        <v>244</v>
      </c>
    </row>
    <row r="77" spans="1:43" x14ac:dyDescent="0.25">
      <c r="A77" s="4" t="s">
        <v>49</v>
      </c>
      <c r="B77" s="4"/>
      <c r="C77" s="4" t="s">
        <v>108</v>
      </c>
      <c r="D77" s="4" t="s">
        <v>179</v>
      </c>
      <c r="E77" s="4" t="s">
        <v>191</v>
      </c>
      <c r="F77" s="16">
        <v>15.94</v>
      </c>
      <c r="G77" s="16"/>
      <c r="H77" s="16">
        <f>F77*AE77</f>
        <v>0</v>
      </c>
      <c r="I77" s="16">
        <f>J77-H77</f>
        <v>0</v>
      </c>
      <c r="J77" s="16">
        <f>F77*G77</f>
        <v>0</v>
      </c>
      <c r="K77" s="16">
        <v>0</v>
      </c>
      <c r="L77" s="16">
        <f>F77*K77</f>
        <v>0</v>
      </c>
      <c r="M77" s="27"/>
      <c r="N77" s="27" t="s">
        <v>11</v>
      </c>
      <c r="O77" s="16">
        <f>IF(N77="5",I77,0)</f>
        <v>0</v>
      </c>
      <c r="Z77" s="16">
        <f>IF(AD77=0,J77,0)</f>
        <v>0</v>
      </c>
      <c r="AA77" s="16">
        <f>IF(AD77=15,J77,0)</f>
        <v>0</v>
      </c>
      <c r="AB77" s="16">
        <f>IF(AD77=21,J77,0)</f>
        <v>0</v>
      </c>
      <c r="AD77" s="31">
        <v>21</v>
      </c>
      <c r="AE77" s="31">
        <f>G77*0</f>
        <v>0</v>
      </c>
      <c r="AF77" s="31">
        <f>G77*(1-0)</f>
        <v>0</v>
      </c>
      <c r="AM77" s="31">
        <f>F77*AE77</f>
        <v>0</v>
      </c>
      <c r="AN77" s="31">
        <f>F77*AF77</f>
        <v>0</v>
      </c>
      <c r="AO77" s="32" t="s">
        <v>237</v>
      </c>
      <c r="AP77" s="32" t="s">
        <v>243</v>
      </c>
      <c r="AQ77" s="24" t="s">
        <v>244</v>
      </c>
    </row>
    <row r="78" spans="1:43" x14ac:dyDescent="0.25">
      <c r="A78" s="4" t="s">
        <v>50</v>
      </c>
      <c r="B78" s="4"/>
      <c r="C78" s="4" t="s">
        <v>109</v>
      </c>
      <c r="D78" s="4" t="s">
        <v>180</v>
      </c>
      <c r="E78" s="4" t="s">
        <v>191</v>
      </c>
      <c r="F78" s="16">
        <v>15.94</v>
      </c>
      <c r="G78" s="16"/>
      <c r="H78" s="16">
        <f>F78*AE78</f>
        <v>0</v>
      </c>
      <c r="I78" s="16">
        <f>J78-H78</f>
        <v>0</v>
      </c>
      <c r="J78" s="16">
        <f>F78*G78</f>
        <v>0</v>
      </c>
      <c r="K78" s="16">
        <v>0</v>
      </c>
      <c r="L78" s="16">
        <f>F78*K78</f>
        <v>0</v>
      </c>
      <c r="M78" s="27"/>
      <c r="N78" s="27" t="s">
        <v>11</v>
      </c>
      <c r="O78" s="16">
        <f>IF(N78="5",I78,0)</f>
        <v>0</v>
      </c>
      <c r="Z78" s="16">
        <f>IF(AD78=0,J78,0)</f>
        <v>0</v>
      </c>
      <c r="AA78" s="16">
        <f>IF(AD78=15,J78,0)</f>
        <v>0</v>
      </c>
      <c r="AB78" s="16">
        <f>IF(AD78=21,J78,0)</f>
        <v>0</v>
      </c>
      <c r="AD78" s="31">
        <v>21</v>
      </c>
      <c r="AE78" s="31">
        <f>G78*0</f>
        <v>0</v>
      </c>
      <c r="AF78" s="31">
        <f>G78*(1-0)</f>
        <v>0</v>
      </c>
      <c r="AM78" s="31">
        <f>F78*AE78</f>
        <v>0</v>
      </c>
      <c r="AN78" s="31">
        <f>F78*AF78</f>
        <v>0</v>
      </c>
      <c r="AO78" s="32" t="s">
        <v>237</v>
      </c>
      <c r="AP78" s="32" t="s">
        <v>243</v>
      </c>
      <c r="AQ78" s="24" t="s">
        <v>244</v>
      </c>
    </row>
    <row r="79" spans="1:43" x14ac:dyDescent="0.25">
      <c r="A79" s="6" t="s">
        <v>51</v>
      </c>
      <c r="B79" s="6"/>
      <c r="C79" s="6" t="s">
        <v>110</v>
      </c>
      <c r="D79" s="6" t="s">
        <v>181</v>
      </c>
      <c r="E79" s="6" t="s">
        <v>191</v>
      </c>
      <c r="F79" s="17">
        <v>15.94</v>
      </c>
      <c r="G79" s="17"/>
      <c r="H79" s="17">
        <f>F79*AE79</f>
        <v>0</v>
      </c>
      <c r="I79" s="17">
        <f>J79-H79</f>
        <v>0</v>
      </c>
      <c r="J79" s="17">
        <f>F79*G79</f>
        <v>0</v>
      </c>
      <c r="K79" s="17">
        <v>0</v>
      </c>
      <c r="L79" s="17">
        <f>F79*K79</f>
        <v>0</v>
      </c>
      <c r="M79" s="28"/>
      <c r="N79" s="27" t="s">
        <v>11</v>
      </c>
      <c r="O79" s="16">
        <f>IF(N79="5",I79,0)</f>
        <v>0</v>
      </c>
      <c r="Z79" s="16">
        <f>IF(AD79=0,J79,0)</f>
        <v>0</v>
      </c>
      <c r="AA79" s="16">
        <f>IF(AD79=15,J79,0)</f>
        <v>0</v>
      </c>
      <c r="AB79" s="16">
        <f>IF(AD79=21,J79,0)</f>
        <v>0</v>
      </c>
      <c r="AD79" s="31">
        <v>21</v>
      </c>
      <c r="AE79" s="31">
        <f>G79*0</f>
        <v>0</v>
      </c>
      <c r="AF79" s="31">
        <f>G79*(1-0)</f>
        <v>0</v>
      </c>
      <c r="AM79" s="31">
        <f>F79*AE79</f>
        <v>0</v>
      </c>
      <c r="AN79" s="31">
        <f>F79*AF79</f>
        <v>0</v>
      </c>
      <c r="AO79" s="32" t="s">
        <v>237</v>
      </c>
      <c r="AP79" s="32" t="s">
        <v>243</v>
      </c>
      <c r="AQ79" s="24" t="s">
        <v>244</v>
      </c>
    </row>
    <row r="80" spans="1:43" x14ac:dyDescent="0.25">
      <c r="A80" s="7"/>
      <c r="B80" s="7"/>
      <c r="C80" s="7"/>
      <c r="D80" s="7"/>
      <c r="E80" s="7"/>
      <c r="F80" s="7"/>
      <c r="G80" s="7"/>
      <c r="H80" s="63" t="s">
        <v>197</v>
      </c>
      <c r="I80" s="64"/>
      <c r="J80" s="35">
        <f>J12+J14+J20+J22+J24+J29+J32+J35+J37+J40+J42+J46+J52+J54+J56+J66+J68+J70+J72+J74</f>
        <v>0</v>
      </c>
      <c r="K80" s="7"/>
      <c r="L80" s="7"/>
      <c r="M80" s="7"/>
      <c r="Z80" s="36">
        <f>SUM(Z13:Z79)</f>
        <v>0</v>
      </c>
      <c r="AA80" s="36">
        <f>SUM(AA13:AA79)</f>
        <v>0</v>
      </c>
      <c r="AB80" s="36">
        <f>SUM(AB13:AB79)</f>
        <v>0</v>
      </c>
    </row>
    <row r="81" spans="1:13" ht="11.25" customHeight="1" x14ac:dyDescent="0.25">
      <c r="A81" s="8" t="s">
        <v>52</v>
      </c>
    </row>
    <row r="82" spans="1:13" ht="409.6" hidden="1" customHeight="1" x14ac:dyDescent="0.25">
      <c r="A82" s="65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</row>
  </sheetData>
  <mergeCells count="49">
    <mergeCell ref="A1:M1"/>
    <mergeCell ref="A2:C3"/>
    <mergeCell ref="D2:D3"/>
    <mergeCell ref="E2:F3"/>
    <mergeCell ref="G2:H3"/>
    <mergeCell ref="I2:I3"/>
    <mergeCell ref="J2:M3"/>
    <mergeCell ref="A4:C5"/>
    <mergeCell ref="D4:D5"/>
    <mergeCell ref="E4:F5"/>
    <mergeCell ref="G4:H5"/>
    <mergeCell ref="I4:I5"/>
    <mergeCell ref="J4:M5"/>
    <mergeCell ref="A6:C7"/>
    <mergeCell ref="D6:D7"/>
    <mergeCell ref="E6:F7"/>
    <mergeCell ref="G6:H7"/>
    <mergeCell ref="I6:I7"/>
    <mergeCell ref="J6:M7"/>
    <mergeCell ref="A8:C9"/>
    <mergeCell ref="D8:D9"/>
    <mergeCell ref="E8:F9"/>
    <mergeCell ref="G8:H9"/>
    <mergeCell ref="I8:I9"/>
    <mergeCell ref="J8:M9"/>
    <mergeCell ref="H10:J10"/>
    <mergeCell ref="K10:L10"/>
    <mergeCell ref="D12:G12"/>
    <mergeCell ref="D14:G14"/>
    <mergeCell ref="D20:G20"/>
    <mergeCell ref="D22:G22"/>
    <mergeCell ref="D24:G24"/>
    <mergeCell ref="D29:G29"/>
    <mergeCell ref="D32:G32"/>
    <mergeCell ref="D35:G35"/>
    <mergeCell ref="D37:G37"/>
    <mergeCell ref="D40:G40"/>
    <mergeCell ref="D42:G42"/>
    <mergeCell ref="D46:G46"/>
    <mergeCell ref="D52:G52"/>
    <mergeCell ref="D54:G54"/>
    <mergeCell ref="D56:G56"/>
    <mergeCell ref="D66:G66"/>
    <mergeCell ref="D68:G68"/>
    <mergeCell ref="D70:G70"/>
    <mergeCell ref="D72:G72"/>
    <mergeCell ref="D74:G74"/>
    <mergeCell ref="H80:I80"/>
    <mergeCell ref="A82:M82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opLeftCell="A31" workbookViewId="0">
      <selection activeCell="E57" sqref="E57"/>
    </sheetView>
  </sheetViews>
  <sheetFormatPr defaultColWidth="11.5546875" defaultRowHeight="13.2" x14ac:dyDescent="0.25"/>
  <cols>
    <col min="1" max="2" width="9.109375" customWidth="1"/>
    <col min="3" max="3" width="13.33203125" customWidth="1"/>
    <col min="4" max="4" width="48.5546875" customWidth="1"/>
    <col min="5" max="5" width="14.5546875" customWidth="1"/>
    <col min="6" max="6" width="24.109375" customWidth="1"/>
    <col min="7" max="7" width="20.44140625" customWidth="1"/>
    <col min="8" max="8" width="16.44140625" customWidth="1"/>
  </cols>
  <sheetData>
    <row r="1" spans="1:9" ht="73.05" customHeight="1" x14ac:dyDescent="0.4">
      <c r="A1" s="80" t="s">
        <v>245</v>
      </c>
      <c r="B1" s="81"/>
      <c r="C1" s="81"/>
      <c r="D1" s="81"/>
      <c r="E1" s="81"/>
      <c r="F1" s="81"/>
      <c r="G1" s="81"/>
      <c r="H1" s="81"/>
    </row>
    <row r="2" spans="1:9" x14ac:dyDescent="0.25">
      <c r="A2" s="82" t="s">
        <v>1</v>
      </c>
      <c r="B2" s="83"/>
      <c r="C2" s="84" t="s">
        <v>111</v>
      </c>
      <c r="D2" s="64"/>
      <c r="E2" s="87" t="s">
        <v>198</v>
      </c>
      <c r="F2" s="87" t="s">
        <v>203</v>
      </c>
      <c r="G2" s="83"/>
      <c r="H2" s="88"/>
      <c r="I2" s="29"/>
    </row>
    <row r="3" spans="1:9" x14ac:dyDescent="0.25">
      <c r="A3" s="79"/>
      <c r="B3" s="66"/>
      <c r="C3" s="85"/>
      <c r="D3" s="85"/>
      <c r="E3" s="66"/>
      <c r="F3" s="66"/>
      <c r="G3" s="66"/>
      <c r="H3" s="77"/>
      <c r="I3" s="29"/>
    </row>
    <row r="4" spans="1:9" x14ac:dyDescent="0.25">
      <c r="A4" s="72" t="s">
        <v>2</v>
      </c>
      <c r="B4" s="66"/>
      <c r="C4" s="65" t="s">
        <v>112</v>
      </c>
      <c r="D4" s="66"/>
      <c r="E4" s="65" t="s">
        <v>199</v>
      </c>
      <c r="F4" s="65"/>
      <c r="G4" s="66"/>
      <c r="H4" s="77"/>
      <c r="I4" s="29"/>
    </row>
    <row r="5" spans="1:9" x14ac:dyDescent="0.25">
      <c r="A5" s="79"/>
      <c r="B5" s="66"/>
      <c r="C5" s="66"/>
      <c r="D5" s="66"/>
      <c r="E5" s="66"/>
      <c r="F5" s="66"/>
      <c r="G5" s="66"/>
      <c r="H5" s="77"/>
      <c r="I5" s="29"/>
    </row>
    <row r="6" spans="1:9" x14ac:dyDescent="0.25">
      <c r="A6" s="72" t="s">
        <v>3</v>
      </c>
      <c r="B6" s="66"/>
      <c r="C6" s="65" t="s">
        <v>113</v>
      </c>
      <c r="D6" s="66"/>
      <c r="E6" s="65" t="s">
        <v>200</v>
      </c>
      <c r="F6" s="65"/>
      <c r="G6" s="66"/>
      <c r="H6" s="77"/>
      <c r="I6" s="29"/>
    </row>
    <row r="7" spans="1:9" x14ac:dyDescent="0.25">
      <c r="A7" s="79"/>
      <c r="B7" s="66"/>
      <c r="C7" s="66"/>
      <c r="D7" s="66"/>
      <c r="E7" s="66"/>
      <c r="F7" s="66"/>
      <c r="G7" s="66"/>
      <c r="H7" s="77"/>
      <c r="I7" s="29"/>
    </row>
    <row r="8" spans="1:9" x14ac:dyDescent="0.25">
      <c r="A8" s="72" t="s">
        <v>201</v>
      </c>
      <c r="B8" s="66"/>
      <c r="C8" s="65"/>
      <c r="D8" s="66"/>
      <c r="E8" s="75" t="s">
        <v>185</v>
      </c>
      <c r="F8" s="76"/>
      <c r="G8" s="66"/>
      <c r="H8" s="77"/>
      <c r="I8" s="29"/>
    </row>
    <row r="9" spans="1:9" x14ac:dyDescent="0.25">
      <c r="A9" s="73"/>
      <c r="B9" s="74"/>
      <c r="C9" s="74"/>
      <c r="D9" s="74"/>
      <c r="E9" s="74"/>
      <c r="F9" s="74"/>
      <c r="G9" s="74"/>
      <c r="H9" s="78"/>
      <c r="I9" s="29"/>
    </row>
    <row r="10" spans="1:9" x14ac:dyDescent="0.25">
      <c r="A10" s="37" t="s">
        <v>5</v>
      </c>
      <c r="B10" s="39" t="s">
        <v>53</v>
      </c>
      <c r="C10" s="39" t="s">
        <v>54</v>
      </c>
      <c r="D10" s="39" t="s">
        <v>114</v>
      </c>
      <c r="E10" s="39" t="s">
        <v>186</v>
      </c>
      <c r="F10" s="39" t="s">
        <v>115</v>
      </c>
      <c r="G10" s="40" t="s">
        <v>192</v>
      </c>
      <c r="H10" s="42" t="s">
        <v>246</v>
      </c>
      <c r="I10" s="30"/>
    </row>
    <row r="11" spans="1:9" x14ac:dyDescent="0.25">
      <c r="A11" s="38" t="s">
        <v>7</v>
      </c>
      <c r="B11" s="38"/>
      <c r="C11" s="38" t="s">
        <v>56</v>
      </c>
      <c r="D11" s="38" t="s">
        <v>117</v>
      </c>
      <c r="E11" s="38" t="s">
        <v>187</v>
      </c>
      <c r="F11" s="38"/>
      <c r="G11" s="41">
        <v>42</v>
      </c>
      <c r="H11" s="43"/>
    </row>
    <row r="12" spans="1:9" x14ac:dyDescent="0.25">
      <c r="A12" s="4" t="s">
        <v>8</v>
      </c>
      <c r="B12" s="4"/>
      <c r="C12" s="4" t="s">
        <v>57</v>
      </c>
      <c r="D12" s="4" t="s">
        <v>119</v>
      </c>
      <c r="E12" s="4" t="s">
        <v>188</v>
      </c>
      <c r="F12" s="4"/>
      <c r="G12" s="16">
        <v>16.2</v>
      </c>
      <c r="H12" s="27"/>
    </row>
    <row r="13" spans="1:9" x14ac:dyDescent="0.25">
      <c r="A13" s="4" t="s">
        <v>9</v>
      </c>
      <c r="B13" s="4"/>
      <c r="C13" s="4" t="s">
        <v>58</v>
      </c>
      <c r="D13" s="4" t="s">
        <v>120</v>
      </c>
      <c r="E13" s="4" t="s">
        <v>188</v>
      </c>
      <c r="F13" s="4"/>
      <c r="G13" s="16">
        <v>16.2</v>
      </c>
      <c r="H13" s="27"/>
    </row>
    <row r="14" spans="1:9" x14ac:dyDescent="0.25">
      <c r="A14" s="4" t="s">
        <v>10</v>
      </c>
      <c r="B14" s="4"/>
      <c r="C14" s="4" t="s">
        <v>59</v>
      </c>
      <c r="D14" s="4" t="s">
        <v>121</v>
      </c>
      <c r="E14" s="4" t="s">
        <v>189</v>
      </c>
      <c r="F14" s="4"/>
      <c r="G14" s="16">
        <v>2</v>
      </c>
      <c r="H14" s="27"/>
    </row>
    <row r="15" spans="1:9" x14ac:dyDescent="0.25">
      <c r="A15" s="4" t="s">
        <v>11</v>
      </c>
      <c r="B15" s="4"/>
      <c r="C15" s="4" t="s">
        <v>60</v>
      </c>
      <c r="D15" s="4" t="s">
        <v>122</v>
      </c>
      <c r="E15" s="4" t="s">
        <v>189</v>
      </c>
      <c r="F15" s="4"/>
      <c r="G15" s="16">
        <v>2</v>
      </c>
      <c r="H15" s="27"/>
    </row>
    <row r="16" spans="1:9" x14ac:dyDescent="0.25">
      <c r="A16" s="4" t="s">
        <v>12</v>
      </c>
      <c r="B16" s="4"/>
      <c r="C16" s="4" t="s">
        <v>61</v>
      </c>
      <c r="D16" s="4" t="s">
        <v>123</v>
      </c>
      <c r="E16" s="4" t="s">
        <v>188</v>
      </c>
      <c r="F16" s="4"/>
      <c r="G16" s="16">
        <v>15.7</v>
      </c>
      <c r="H16" s="27"/>
    </row>
    <row r="17" spans="1:8" x14ac:dyDescent="0.25">
      <c r="A17" s="4" t="s">
        <v>13</v>
      </c>
      <c r="B17" s="4"/>
      <c r="C17" s="4" t="s">
        <v>62</v>
      </c>
      <c r="D17" s="4" t="s">
        <v>125</v>
      </c>
      <c r="E17" s="4" t="s">
        <v>190</v>
      </c>
      <c r="F17" s="4"/>
      <c r="G17" s="16">
        <v>42.8</v>
      </c>
      <c r="H17" s="27"/>
    </row>
    <row r="18" spans="1:8" x14ac:dyDescent="0.25">
      <c r="A18" s="4" t="s">
        <v>14</v>
      </c>
      <c r="B18" s="4"/>
      <c r="C18" s="4" t="s">
        <v>63</v>
      </c>
      <c r="D18" s="4" t="s">
        <v>127</v>
      </c>
      <c r="E18" s="4" t="s">
        <v>190</v>
      </c>
      <c r="F18" s="4"/>
      <c r="G18" s="16">
        <v>7.2</v>
      </c>
      <c r="H18" s="27"/>
    </row>
    <row r="19" spans="1:8" x14ac:dyDescent="0.25">
      <c r="A19" s="4" t="s">
        <v>15</v>
      </c>
      <c r="B19" s="4"/>
      <c r="C19" s="4" t="s">
        <v>64</v>
      </c>
      <c r="D19" s="4" t="s">
        <v>129</v>
      </c>
      <c r="E19" s="4" t="s">
        <v>190</v>
      </c>
      <c r="F19" s="4"/>
      <c r="G19" s="16">
        <v>335.1</v>
      </c>
      <c r="H19" s="27"/>
    </row>
    <row r="20" spans="1:8" x14ac:dyDescent="0.25">
      <c r="A20" s="4" t="s">
        <v>16</v>
      </c>
      <c r="B20" s="4"/>
      <c r="C20" s="4" t="s">
        <v>65</v>
      </c>
      <c r="D20" s="4" t="s">
        <v>130</v>
      </c>
      <c r="E20" s="4" t="s">
        <v>190</v>
      </c>
      <c r="F20" s="4"/>
      <c r="G20" s="16">
        <v>403.9</v>
      </c>
      <c r="H20" s="27"/>
    </row>
    <row r="21" spans="1:8" x14ac:dyDescent="0.25">
      <c r="D21" s="14" t="s">
        <v>131</v>
      </c>
    </row>
    <row r="22" spans="1:8" x14ac:dyDescent="0.25">
      <c r="A22" s="4" t="s">
        <v>17</v>
      </c>
      <c r="B22" s="4"/>
      <c r="C22" s="4" t="s">
        <v>66</v>
      </c>
      <c r="D22" s="4" t="s">
        <v>132</v>
      </c>
      <c r="E22" s="4" t="s">
        <v>190</v>
      </c>
      <c r="F22" s="4"/>
      <c r="G22" s="16">
        <v>807.8</v>
      </c>
      <c r="H22" s="27"/>
    </row>
    <row r="23" spans="1:8" x14ac:dyDescent="0.25">
      <c r="A23" s="4" t="s">
        <v>18</v>
      </c>
      <c r="B23" s="4"/>
      <c r="C23" s="4" t="s">
        <v>67</v>
      </c>
      <c r="D23" s="4" t="s">
        <v>134</v>
      </c>
      <c r="E23" s="4" t="s">
        <v>190</v>
      </c>
      <c r="F23" s="4"/>
      <c r="G23" s="16">
        <v>29.8</v>
      </c>
      <c r="H23" s="27"/>
    </row>
    <row r="24" spans="1:8" x14ac:dyDescent="0.25">
      <c r="A24" s="4" t="s">
        <v>19</v>
      </c>
      <c r="B24" s="4"/>
      <c r="C24" s="4" t="s">
        <v>68</v>
      </c>
      <c r="D24" s="4" t="s">
        <v>135</v>
      </c>
      <c r="E24" s="4" t="s">
        <v>190</v>
      </c>
      <c r="F24" s="4"/>
      <c r="G24" s="16">
        <v>403.9</v>
      </c>
      <c r="H24" s="27"/>
    </row>
    <row r="25" spans="1:8" x14ac:dyDescent="0.25">
      <c r="A25" s="4" t="s">
        <v>20</v>
      </c>
      <c r="B25" s="4"/>
      <c r="C25" s="4" t="s">
        <v>69</v>
      </c>
      <c r="D25" s="4" t="s">
        <v>137</v>
      </c>
      <c r="E25" s="4" t="s">
        <v>188</v>
      </c>
      <c r="F25" s="4"/>
      <c r="G25" s="16">
        <v>52.8</v>
      </c>
      <c r="H25" s="27"/>
    </row>
    <row r="26" spans="1:8" x14ac:dyDescent="0.25">
      <c r="A26" s="4" t="s">
        <v>21</v>
      </c>
      <c r="B26" s="4"/>
      <c r="C26" s="4" t="s">
        <v>70</v>
      </c>
      <c r="D26" s="4" t="s">
        <v>138</v>
      </c>
      <c r="E26" s="4" t="s">
        <v>188</v>
      </c>
      <c r="F26" s="4"/>
      <c r="G26" s="16">
        <v>877.5</v>
      </c>
      <c r="H26" s="27"/>
    </row>
    <row r="27" spans="1:8" x14ac:dyDescent="0.25">
      <c r="A27" s="4" t="s">
        <v>22</v>
      </c>
      <c r="B27" s="4"/>
      <c r="C27" s="4" t="s">
        <v>71</v>
      </c>
      <c r="D27" s="4" t="s">
        <v>140</v>
      </c>
      <c r="E27" s="4" t="s">
        <v>190</v>
      </c>
      <c r="F27" s="4"/>
      <c r="G27" s="16">
        <v>9.6</v>
      </c>
      <c r="H27" s="27"/>
    </row>
    <row r="28" spans="1:8" x14ac:dyDescent="0.25">
      <c r="A28" s="4" t="s">
        <v>23</v>
      </c>
      <c r="B28" s="4"/>
      <c r="C28" s="4" t="s">
        <v>72</v>
      </c>
      <c r="D28" s="4" t="s">
        <v>142</v>
      </c>
      <c r="E28" s="4" t="s">
        <v>190</v>
      </c>
      <c r="F28" s="4"/>
      <c r="G28" s="16">
        <v>70.319999999999993</v>
      </c>
      <c r="H28" s="27"/>
    </row>
    <row r="29" spans="1:8" x14ac:dyDescent="0.25">
      <c r="D29" s="14" t="s">
        <v>143</v>
      </c>
    </row>
    <row r="30" spans="1:8" x14ac:dyDescent="0.25">
      <c r="A30" s="4" t="s">
        <v>24</v>
      </c>
      <c r="B30" s="4"/>
      <c r="C30" s="4" t="s">
        <v>73</v>
      </c>
      <c r="D30" s="4" t="s">
        <v>145</v>
      </c>
      <c r="E30" s="4" t="s">
        <v>187</v>
      </c>
      <c r="F30" s="4"/>
      <c r="G30" s="16">
        <v>24</v>
      </c>
      <c r="H30" s="27"/>
    </row>
    <row r="31" spans="1:8" x14ac:dyDescent="0.25">
      <c r="A31" s="4" t="s">
        <v>25</v>
      </c>
      <c r="B31" s="4"/>
      <c r="C31" s="4" t="s">
        <v>75</v>
      </c>
      <c r="D31" s="4" t="s">
        <v>147</v>
      </c>
      <c r="E31" s="4" t="s">
        <v>188</v>
      </c>
      <c r="F31" s="4"/>
      <c r="G31" s="16">
        <v>1073.5</v>
      </c>
      <c r="H31" s="27"/>
    </row>
    <row r="32" spans="1:8" x14ac:dyDescent="0.25">
      <c r="A32" s="4" t="s">
        <v>26</v>
      </c>
      <c r="B32" s="4"/>
      <c r="C32" s="4" t="s">
        <v>76</v>
      </c>
      <c r="D32" s="4" t="s">
        <v>148</v>
      </c>
      <c r="E32" s="4" t="s">
        <v>188</v>
      </c>
      <c r="F32" s="4"/>
      <c r="G32" s="16">
        <v>2411.5</v>
      </c>
      <c r="H32" s="27"/>
    </row>
    <row r="33" spans="1:8" x14ac:dyDescent="0.25">
      <c r="A33" s="4" t="s">
        <v>27</v>
      </c>
      <c r="B33" s="4"/>
      <c r="C33" s="4" t="s">
        <v>77</v>
      </c>
      <c r="D33" s="4" t="s">
        <v>149</v>
      </c>
      <c r="E33" s="4" t="s">
        <v>188</v>
      </c>
      <c r="F33" s="4"/>
      <c r="G33" s="16">
        <v>644</v>
      </c>
      <c r="H33" s="27"/>
    </row>
    <row r="34" spans="1:8" x14ac:dyDescent="0.25">
      <c r="A34" s="4" t="s">
        <v>28</v>
      </c>
      <c r="B34" s="4"/>
      <c r="C34" s="4" t="s">
        <v>79</v>
      </c>
      <c r="D34" s="4" t="s">
        <v>151</v>
      </c>
      <c r="E34" s="4" t="s">
        <v>188</v>
      </c>
      <c r="F34" s="4"/>
      <c r="G34" s="16">
        <v>2026.5</v>
      </c>
      <c r="H34" s="27"/>
    </row>
    <row r="35" spans="1:8" x14ac:dyDescent="0.25">
      <c r="A35" s="4" t="s">
        <v>29</v>
      </c>
      <c r="B35" s="4"/>
      <c r="C35" s="4" t="s">
        <v>80</v>
      </c>
      <c r="D35" s="4" t="s">
        <v>152</v>
      </c>
      <c r="E35" s="4" t="s">
        <v>188</v>
      </c>
      <c r="F35" s="4"/>
      <c r="G35" s="16">
        <v>1380.5</v>
      </c>
      <c r="H35" s="27"/>
    </row>
    <row r="36" spans="1:8" x14ac:dyDescent="0.25">
      <c r="A36" s="4" t="s">
        <v>30</v>
      </c>
      <c r="B36" s="4"/>
      <c r="C36" s="4" t="s">
        <v>81</v>
      </c>
      <c r="D36" s="4" t="s">
        <v>153</v>
      </c>
      <c r="E36" s="4" t="s">
        <v>188</v>
      </c>
      <c r="F36" s="4"/>
      <c r="G36" s="16">
        <v>2348.5</v>
      </c>
      <c r="H36" s="27"/>
    </row>
    <row r="37" spans="1:8" x14ac:dyDescent="0.25">
      <c r="D37" s="14" t="s">
        <v>154</v>
      </c>
    </row>
    <row r="38" spans="1:8" x14ac:dyDescent="0.25">
      <c r="A38" s="4" t="s">
        <v>31</v>
      </c>
      <c r="B38" s="4"/>
      <c r="C38" s="4" t="s">
        <v>82</v>
      </c>
      <c r="D38" s="4" t="s">
        <v>155</v>
      </c>
      <c r="E38" s="4" t="s">
        <v>188</v>
      </c>
      <c r="F38" s="4"/>
      <c r="G38" s="16">
        <v>2348.5</v>
      </c>
      <c r="H38" s="27"/>
    </row>
    <row r="39" spans="1:8" x14ac:dyDescent="0.25">
      <c r="A39" s="4" t="s">
        <v>32</v>
      </c>
      <c r="B39" s="4"/>
      <c r="C39" s="4" t="s">
        <v>84</v>
      </c>
      <c r="D39" s="4" t="s">
        <v>157</v>
      </c>
      <c r="E39" s="4" t="s">
        <v>187</v>
      </c>
      <c r="F39" s="4"/>
      <c r="G39" s="16">
        <v>16</v>
      </c>
      <c r="H39" s="27"/>
    </row>
    <row r="40" spans="1:8" x14ac:dyDescent="0.25">
      <c r="A40" s="4" t="s">
        <v>33</v>
      </c>
      <c r="B40" s="4"/>
      <c r="C40" s="4" t="s">
        <v>86</v>
      </c>
      <c r="D40" s="4" t="s">
        <v>158</v>
      </c>
      <c r="E40" s="4" t="s">
        <v>188</v>
      </c>
      <c r="F40" s="4"/>
      <c r="G40" s="16">
        <v>88.2</v>
      </c>
      <c r="H40" s="27"/>
    </row>
    <row r="41" spans="1:8" x14ac:dyDescent="0.25">
      <c r="A41" s="4" t="s">
        <v>34</v>
      </c>
      <c r="B41" s="4"/>
      <c r="C41" s="4" t="s">
        <v>88</v>
      </c>
      <c r="D41" s="4" t="s">
        <v>160</v>
      </c>
      <c r="E41" s="4" t="s">
        <v>189</v>
      </c>
      <c r="F41" s="4"/>
      <c r="G41" s="16">
        <v>3</v>
      </c>
      <c r="H41" s="27"/>
    </row>
    <row r="42" spans="1:8" x14ac:dyDescent="0.25">
      <c r="A42" s="4" t="s">
        <v>35</v>
      </c>
      <c r="B42" s="4"/>
      <c r="C42" s="4" t="s">
        <v>89</v>
      </c>
      <c r="D42" s="4" t="s">
        <v>161</v>
      </c>
      <c r="E42" s="4" t="s">
        <v>187</v>
      </c>
      <c r="F42" s="4"/>
      <c r="G42" s="16">
        <v>5</v>
      </c>
      <c r="H42" s="27"/>
    </row>
    <row r="43" spans="1:8" x14ac:dyDescent="0.25">
      <c r="A43" s="4" t="s">
        <v>36</v>
      </c>
      <c r="B43" s="4"/>
      <c r="C43" s="4" t="s">
        <v>90</v>
      </c>
      <c r="D43" s="4" t="s">
        <v>162</v>
      </c>
      <c r="E43" s="4" t="s">
        <v>189</v>
      </c>
      <c r="F43" s="4"/>
      <c r="G43" s="16">
        <v>1</v>
      </c>
      <c r="H43" s="27"/>
    </row>
    <row r="44" spans="1:8" x14ac:dyDescent="0.25">
      <c r="A44" s="4" t="s">
        <v>37</v>
      </c>
      <c r="B44" s="4"/>
      <c r="C44" s="4" t="s">
        <v>91</v>
      </c>
      <c r="D44" s="4" t="s">
        <v>163</v>
      </c>
      <c r="E44" s="4" t="s">
        <v>187</v>
      </c>
      <c r="F44" s="4"/>
      <c r="G44" s="16">
        <v>18</v>
      </c>
      <c r="H44" s="27"/>
    </row>
    <row r="45" spans="1:8" x14ac:dyDescent="0.25">
      <c r="A45" s="4" t="s">
        <v>38</v>
      </c>
      <c r="B45" s="4"/>
      <c r="C45" s="4" t="s">
        <v>92</v>
      </c>
      <c r="D45" s="4" t="s">
        <v>164</v>
      </c>
      <c r="E45" s="4" t="s">
        <v>189</v>
      </c>
      <c r="F45" s="4"/>
      <c r="G45" s="16">
        <v>1</v>
      </c>
      <c r="H45" s="27"/>
    </row>
    <row r="46" spans="1:8" x14ac:dyDescent="0.25">
      <c r="A46" s="4" t="s">
        <v>39</v>
      </c>
      <c r="B46" s="4"/>
      <c r="C46" s="4" t="s">
        <v>93</v>
      </c>
      <c r="D46" s="4" t="s">
        <v>165</v>
      </c>
      <c r="E46" s="4" t="s">
        <v>189</v>
      </c>
      <c r="F46" s="4"/>
      <c r="G46" s="16">
        <v>2</v>
      </c>
      <c r="H46" s="27"/>
    </row>
    <row r="47" spans="1:8" x14ac:dyDescent="0.25">
      <c r="A47" s="4" t="s">
        <v>40</v>
      </c>
      <c r="B47" s="4"/>
      <c r="C47" s="4" t="s">
        <v>94</v>
      </c>
      <c r="D47" s="4" t="s">
        <v>166</v>
      </c>
      <c r="E47" s="4" t="s">
        <v>187</v>
      </c>
      <c r="F47" s="4"/>
      <c r="G47" s="16">
        <v>10</v>
      </c>
      <c r="H47" s="27"/>
    </row>
    <row r="48" spans="1:8" x14ac:dyDescent="0.25">
      <c r="A48" s="4" t="s">
        <v>41</v>
      </c>
      <c r="B48" s="4"/>
      <c r="C48" s="4" t="s">
        <v>95</v>
      </c>
      <c r="D48" s="4" t="s">
        <v>167</v>
      </c>
      <c r="E48" s="4" t="s">
        <v>187</v>
      </c>
      <c r="F48" s="4"/>
      <c r="G48" s="16">
        <v>2.5</v>
      </c>
      <c r="H48" s="27"/>
    </row>
    <row r="49" spans="1:8" x14ac:dyDescent="0.25">
      <c r="A49" s="4" t="s">
        <v>42</v>
      </c>
      <c r="B49" s="4"/>
      <c r="C49" s="4" t="s">
        <v>96</v>
      </c>
      <c r="D49" s="4" t="s">
        <v>168</v>
      </c>
      <c r="E49" s="4" t="s">
        <v>190</v>
      </c>
      <c r="F49" s="4"/>
      <c r="G49" s="16">
        <v>2.5</v>
      </c>
      <c r="H49" s="27"/>
    </row>
    <row r="50" spans="1:8" x14ac:dyDescent="0.25">
      <c r="A50" s="4" t="s">
        <v>43</v>
      </c>
      <c r="B50" s="4"/>
      <c r="C50" s="4" t="s">
        <v>98</v>
      </c>
      <c r="D50" s="4" t="s">
        <v>170</v>
      </c>
      <c r="E50" s="4" t="s">
        <v>187</v>
      </c>
      <c r="F50" s="4"/>
      <c r="G50" s="16">
        <v>374</v>
      </c>
      <c r="H50" s="27"/>
    </row>
    <row r="51" spans="1:8" x14ac:dyDescent="0.25">
      <c r="A51" s="4" t="s">
        <v>44</v>
      </c>
      <c r="B51" s="4"/>
      <c r="C51" s="4" t="s">
        <v>100</v>
      </c>
      <c r="D51" s="4" t="s">
        <v>172</v>
      </c>
      <c r="E51" s="4" t="s">
        <v>187</v>
      </c>
      <c r="F51" s="4"/>
      <c r="G51" s="16">
        <v>42</v>
      </c>
      <c r="H51" s="27"/>
    </row>
    <row r="52" spans="1:8" x14ac:dyDescent="0.25">
      <c r="A52" s="4" t="s">
        <v>45</v>
      </c>
      <c r="B52" s="4"/>
      <c r="C52" s="4" t="s">
        <v>102</v>
      </c>
      <c r="D52" s="4" t="s">
        <v>173</v>
      </c>
      <c r="E52" s="4" t="s">
        <v>187</v>
      </c>
      <c r="F52" s="4"/>
      <c r="G52" s="16">
        <v>5</v>
      </c>
      <c r="H52" s="27"/>
    </row>
    <row r="53" spans="1:8" x14ac:dyDescent="0.25">
      <c r="A53" s="4" t="s">
        <v>46</v>
      </c>
      <c r="B53" s="4"/>
      <c r="C53" s="4" t="s">
        <v>104</v>
      </c>
      <c r="D53" s="4" t="s">
        <v>175</v>
      </c>
      <c r="E53" s="4" t="s">
        <v>191</v>
      </c>
      <c r="F53" s="4"/>
      <c r="G53" s="16">
        <v>2677.9870000000001</v>
      </c>
      <c r="H53" s="27"/>
    </row>
    <row r="54" spans="1:8" x14ac:dyDescent="0.25">
      <c r="A54" s="4" t="s">
        <v>47</v>
      </c>
      <c r="B54" s="4"/>
      <c r="C54" s="4" t="s">
        <v>106</v>
      </c>
      <c r="D54" s="4" t="s">
        <v>177</v>
      </c>
      <c r="E54" s="4" t="s">
        <v>191</v>
      </c>
      <c r="F54" s="4"/>
      <c r="G54" s="16">
        <v>15.94</v>
      </c>
      <c r="H54" s="27"/>
    </row>
    <row r="55" spans="1:8" x14ac:dyDescent="0.25">
      <c r="A55" s="4" t="s">
        <v>48</v>
      </c>
      <c r="B55" s="4"/>
      <c r="C55" s="4" t="s">
        <v>107</v>
      </c>
      <c r="D55" s="4" t="s">
        <v>178</v>
      </c>
      <c r="E55" s="4" t="s">
        <v>191</v>
      </c>
      <c r="F55" s="4"/>
      <c r="G55" s="16">
        <v>255.04</v>
      </c>
      <c r="H55" s="27"/>
    </row>
    <row r="56" spans="1:8" x14ac:dyDescent="0.25">
      <c r="A56" s="4" t="s">
        <v>49</v>
      </c>
      <c r="B56" s="4"/>
      <c r="C56" s="4" t="s">
        <v>108</v>
      </c>
      <c r="D56" s="4" t="s">
        <v>179</v>
      </c>
      <c r="E56" s="4" t="s">
        <v>191</v>
      </c>
      <c r="F56" s="4"/>
      <c r="G56" s="16">
        <v>15.94</v>
      </c>
      <c r="H56" s="27"/>
    </row>
    <row r="57" spans="1:8" x14ac:dyDescent="0.25">
      <c r="A57" s="4" t="s">
        <v>50</v>
      </c>
      <c r="B57" s="4"/>
      <c r="C57" s="4" t="s">
        <v>109</v>
      </c>
      <c r="D57" s="4" t="s">
        <v>180</v>
      </c>
      <c r="E57" s="4" t="s">
        <v>191</v>
      </c>
      <c r="F57" s="4"/>
      <c r="G57" s="16">
        <v>15.94</v>
      </c>
      <c r="H57" s="27"/>
    </row>
    <row r="58" spans="1:8" x14ac:dyDescent="0.25">
      <c r="A58" s="4" t="s">
        <v>51</v>
      </c>
      <c r="B58" s="4"/>
      <c r="C58" s="4" t="s">
        <v>110</v>
      </c>
      <c r="D58" s="4" t="s">
        <v>181</v>
      </c>
      <c r="E58" s="4" t="s">
        <v>191</v>
      </c>
      <c r="F58" s="4"/>
      <c r="G58" s="16">
        <v>15.94</v>
      </c>
      <c r="H58" s="27"/>
    </row>
    <row r="60" spans="1:8" ht="11.25" customHeight="1" x14ac:dyDescent="0.25">
      <c r="A60" s="8" t="s">
        <v>52</v>
      </c>
    </row>
    <row r="61" spans="1:8" ht="409.6" hidden="1" customHeight="1" x14ac:dyDescent="0.25">
      <c r="A61" s="65"/>
      <c r="B61" s="66"/>
      <c r="C61" s="66"/>
      <c r="D61" s="66"/>
      <c r="E61" s="66"/>
      <c r="F61" s="66"/>
      <c r="G61" s="66"/>
    </row>
  </sheetData>
  <mergeCells count="18">
    <mergeCell ref="A1:H1"/>
    <mergeCell ref="A2:B3"/>
    <mergeCell ref="C2:D3"/>
    <mergeCell ref="E2:E3"/>
    <mergeCell ref="F2:H3"/>
    <mergeCell ref="A4:B5"/>
    <mergeCell ref="C4:D5"/>
    <mergeCell ref="E4:E5"/>
    <mergeCell ref="F4:H5"/>
    <mergeCell ref="A61:G61"/>
    <mergeCell ref="A6:B7"/>
    <mergeCell ref="C6:D7"/>
    <mergeCell ref="E6:E7"/>
    <mergeCell ref="F6:H7"/>
    <mergeCell ref="A8:B9"/>
    <mergeCell ref="C8:D9"/>
    <mergeCell ref="E8:E9"/>
    <mergeCell ref="F8:H9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I20" sqref="I20"/>
    </sheetView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2.88671875" customWidth="1"/>
    <col min="9" max="9" width="22.88671875" customWidth="1"/>
  </cols>
  <sheetData>
    <row r="1" spans="1:10" ht="73.05" customHeight="1" x14ac:dyDescent="0.25">
      <c r="A1" s="60"/>
      <c r="B1" s="44"/>
      <c r="C1" s="113" t="s">
        <v>262</v>
      </c>
      <c r="D1" s="114"/>
      <c r="E1" s="114"/>
      <c r="F1" s="114"/>
      <c r="G1" s="114"/>
      <c r="H1" s="114"/>
      <c r="I1" s="114"/>
    </row>
    <row r="2" spans="1:10" x14ac:dyDescent="0.25">
      <c r="A2" s="82" t="s">
        <v>1</v>
      </c>
      <c r="B2" s="83"/>
      <c r="C2" s="84" t="s">
        <v>111</v>
      </c>
      <c r="D2" s="64"/>
      <c r="E2" s="87" t="s">
        <v>198</v>
      </c>
      <c r="F2" s="87" t="s">
        <v>203</v>
      </c>
      <c r="G2" s="83"/>
      <c r="H2" s="87" t="s">
        <v>289</v>
      </c>
      <c r="I2" s="115" t="s">
        <v>293</v>
      </c>
      <c r="J2" s="29"/>
    </row>
    <row r="3" spans="1:10" x14ac:dyDescent="0.25">
      <c r="A3" s="79"/>
      <c r="B3" s="66"/>
      <c r="C3" s="85"/>
      <c r="D3" s="85"/>
      <c r="E3" s="66"/>
      <c r="F3" s="66"/>
      <c r="G3" s="66"/>
      <c r="H3" s="66"/>
      <c r="I3" s="77"/>
      <c r="J3" s="29"/>
    </row>
    <row r="4" spans="1:10" x14ac:dyDescent="0.25">
      <c r="A4" s="72" t="s">
        <v>2</v>
      </c>
      <c r="B4" s="66"/>
      <c r="C4" s="65" t="s">
        <v>112</v>
      </c>
      <c r="D4" s="66"/>
      <c r="E4" s="65" t="s">
        <v>199</v>
      </c>
      <c r="F4" s="65"/>
      <c r="G4" s="66"/>
      <c r="H4" s="65" t="s">
        <v>289</v>
      </c>
      <c r="I4" s="112"/>
      <c r="J4" s="29"/>
    </row>
    <row r="5" spans="1:10" x14ac:dyDescent="0.25">
      <c r="A5" s="79"/>
      <c r="B5" s="66"/>
      <c r="C5" s="66"/>
      <c r="D5" s="66"/>
      <c r="E5" s="66"/>
      <c r="F5" s="66"/>
      <c r="G5" s="66"/>
      <c r="H5" s="66"/>
      <c r="I5" s="77"/>
      <c r="J5" s="29"/>
    </row>
    <row r="6" spans="1:10" x14ac:dyDescent="0.25">
      <c r="A6" s="72" t="s">
        <v>3</v>
      </c>
      <c r="B6" s="66"/>
      <c r="C6" s="65" t="s">
        <v>113</v>
      </c>
      <c r="D6" s="66"/>
      <c r="E6" s="65" t="s">
        <v>200</v>
      </c>
      <c r="F6" s="65"/>
      <c r="G6" s="66"/>
      <c r="H6" s="65" t="s">
        <v>289</v>
      </c>
      <c r="I6" s="112"/>
      <c r="J6" s="29"/>
    </row>
    <row r="7" spans="1:10" ht="25.65" customHeight="1" x14ac:dyDescent="0.25">
      <c r="A7" s="79"/>
      <c r="B7" s="66"/>
      <c r="C7" s="66"/>
      <c r="D7" s="66"/>
      <c r="E7" s="66"/>
      <c r="F7" s="66"/>
      <c r="G7" s="66"/>
      <c r="H7" s="66"/>
      <c r="I7" s="77"/>
      <c r="J7" s="29"/>
    </row>
    <row r="8" spans="1:10" x14ac:dyDescent="0.25">
      <c r="A8" s="72" t="s">
        <v>183</v>
      </c>
      <c r="B8" s="66"/>
      <c r="C8" s="75" t="s">
        <v>6</v>
      </c>
      <c r="D8" s="66"/>
      <c r="E8" s="65" t="s">
        <v>184</v>
      </c>
      <c r="F8" s="76"/>
      <c r="G8" s="66"/>
      <c r="H8" s="75" t="s">
        <v>290</v>
      </c>
      <c r="I8" s="112"/>
      <c r="J8" s="29"/>
    </row>
    <row r="9" spans="1:10" x14ac:dyDescent="0.25">
      <c r="A9" s="79"/>
      <c r="B9" s="66"/>
      <c r="C9" s="66"/>
      <c r="D9" s="66"/>
      <c r="E9" s="66"/>
      <c r="F9" s="66"/>
      <c r="G9" s="66"/>
      <c r="H9" s="66"/>
      <c r="I9" s="77"/>
      <c r="J9" s="29"/>
    </row>
    <row r="10" spans="1:10" x14ac:dyDescent="0.25">
      <c r="A10" s="72" t="s">
        <v>4</v>
      </c>
      <c r="B10" s="66"/>
      <c r="C10" s="65"/>
      <c r="D10" s="66"/>
      <c r="E10" s="65" t="s">
        <v>201</v>
      </c>
      <c r="F10" s="65"/>
      <c r="G10" s="66"/>
      <c r="H10" s="75" t="s">
        <v>291</v>
      </c>
      <c r="I10" s="110"/>
      <c r="J10" s="29"/>
    </row>
    <row r="11" spans="1:10" x14ac:dyDescent="0.25">
      <c r="A11" s="108"/>
      <c r="B11" s="109"/>
      <c r="C11" s="109"/>
      <c r="D11" s="109"/>
      <c r="E11" s="109"/>
      <c r="F11" s="109"/>
      <c r="G11" s="109"/>
      <c r="H11" s="109"/>
      <c r="I11" s="111"/>
      <c r="J11" s="29"/>
    </row>
    <row r="12" spans="1:10" ht="23.4" customHeight="1" x14ac:dyDescent="0.25">
      <c r="A12" s="104" t="s">
        <v>247</v>
      </c>
      <c r="B12" s="105"/>
      <c r="C12" s="105"/>
      <c r="D12" s="105"/>
      <c r="E12" s="105"/>
      <c r="F12" s="105"/>
      <c r="G12" s="105"/>
      <c r="H12" s="105"/>
      <c r="I12" s="105"/>
    </row>
    <row r="13" spans="1:10" ht="26.4" customHeight="1" x14ac:dyDescent="0.25">
      <c r="A13" s="45" t="s">
        <v>248</v>
      </c>
      <c r="B13" s="106" t="s">
        <v>260</v>
      </c>
      <c r="C13" s="107"/>
      <c r="D13" s="45" t="s">
        <v>263</v>
      </c>
      <c r="E13" s="106" t="s">
        <v>274</v>
      </c>
      <c r="F13" s="107"/>
      <c r="G13" s="45" t="s">
        <v>275</v>
      </c>
      <c r="H13" s="106" t="s">
        <v>292</v>
      </c>
      <c r="I13" s="107"/>
      <c r="J13" s="29"/>
    </row>
    <row r="14" spans="1:10" ht="15.15" customHeight="1" x14ac:dyDescent="0.25">
      <c r="A14" s="46" t="s">
        <v>249</v>
      </c>
      <c r="B14" s="50" t="s">
        <v>261</v>
      </c>
      <c r="C14" s="54">
        <f>SUM('Stavební rozpočet'!R12:R79)</f>
        <v>0</v>
      </c>
      <c r="D14" s="102" t="s">
        <v>264</v>
      </c>
      <c r="E14" s="103"/>
      <c r="F14" s="54">
        <v>0</v>
      </c>
      <c r="G14" s="102" t="s">
        <v>276</v>
      </c>
      <c r="H14" s="103"/>
      <c r="I14" s="54">
        <v>0</v>
      </c>
      <c r="J14" s="29"/>
    </row>
    <row r="15" spans="1:10" ht="15.15" customHeight="1" x14ac:dyDescent="0.25">
      <c r="A15" s="47"/>
      <c r="B15" s="50" t="s">
        <v>202</v>
      </c>
      <c r="C15" s="54">
        <f>SUM('Stavební rozpočet'!S12:S79)</f>
        <v>0</v>
      </c>
      <c r="D15" s="102" t="s">
        <v>265</v>
      </c>
      <c r="E15" s="103"/>
      <c r="F15" s="54">
        <v>0</v>
      </c>
      <c r="G15" s="102" t="s">
        <v>277</v>
      </c>
      <c r="H15" s="103"/>
      <c r="I15" s="54">
        <v>0</v>
      </c>
      <c r="J15" s="29"/>
    </row>
    <row r="16" spans="1:10" ht="15.15" customHeight="1" x14ac:dyDescent="0.25">
      <c r="A16" s="46" t="s">
        <v>250</v>
      </c>
      <c r="B16" s="50" t="s">
        <v>261</v>
      </c>
      <c r="C16" s="54">
        <f>SUM('Stavební rozpočet'!T12:T79)</f>
        <v>0</v>
      </c>
      <c r="D16" s="102" t="s">
        <v>266</v>
      </c>
      <c r="E16" s="103"/>
      <c r="F16" s="54">
        <v>0</v>
      </c>
      <c r="G16" s="102" t="s">
        <v>278</v>
      </c>
      <c r="H16" s="103"/>
      <c r="I16" s="54">
        <v>0</v>
      </c>
      <c r="J16" s="29"/>
    </row>
    <row r="17" spans="1:10" ht="15.15" customHeight="1" x14ac:dyDescent="0.25">
      <c r="A17" s="47"/>
      <c r="B17" s="50" t="s">
        <v>202</v>
      </c>
      <c r="C17" s="54">
        <f>SUM('Stavební rozpočet'!U12:U79)</f>
        <v>0</v>
      </c>
      <c r="D17" s="102" t="s">
        <v>267</v>
      </c>
      <c r="E17" s="103"/>
      <c r="F17" s="54">
        <v>0</v>
      </c>
      <c r="G17" s="102" t="s">
        <v>279</v>
      </c>
      <c r="H17" s="103"/>
      <c r="I17" s="54">
        <v>0</v>
      </c>
      <c r="J17" s="29"/>
    </row>
    <row r="18" spans="1:10" ht="15.15" customHeight="1" x14ac:dyDescent="0.25">
      <c r="A18" s="46" t="s">
        <v>251</v>
      </c>
      <c r="B18" s="50" t="s">
        <v>261</v>
      </c>
      <c r="C18" s="54">
        <f>SUM('Stavební rozpočet'!V12:V79)</f>
        <v>0</v>
      </c>
      <c r="D18" s="102" t="s">
        <v>268</v>
      </c>
      <c r="E18" s="103"/>
      <c r="F18" s="54">
        <v>0</v>
      </c>
      <c r="G18" s="102" t="s">
        <v>280</v>
      </c>
      <c r="H18" s="103"/>
      <c r="I18" s="54">
        <v>0</v>
      </c>
      <c r="J18" s="29"/>
    </row>
    <row r="19" spans="1:10" ht="15.15" customHeight="1" x14ac:dyDescent="0.25">
      <c r="A19" s="47"/>
      <c r="B19" s="50" t="s">
        <v>202</v>
      </c>
      <c r="C19" s="54">
        <f>SUM('Stavební rozpočet'!W12:W79)</f>
        <v>0</v>
      </c>
      <c r="D19" s="102"/>
      <c r="E19" s="103"/>
      <c r="F19" s="55"/>
      <c r="G19" s="102" t="s">
        <v>281</v>
      </c>
      <c r="H19" s="103"/>
      <c r="I19" s="54">
        <v>0</v>
      </c>
      <c r="J19" s="29"/>
    </row>
    <row r="20" spans="1:10" ht="15.15" customHeight="1" x14ac:dyDescent="0.25">
      <c r="A20" s="100" t="s">
        <v>252</v>
      </c>
      <c r="B20" s="101"/>
      <c r="C20" s="54">
        <f>SUM('Stavební rozpočet'!X12:X79)</f>
        <v>0</v>
      </c>
      <c r="D20" s="102"/>
      <c r="E20" s="103"/>
      <c r="F20" s="55"/>
      <c r="G20" s="102"/>
      <c r="H20" s="103"/>
      <c r="I20" s="55"/>
      <c r="J20" s="29"/>
    </row>
    <row r="21" spans="1:10" ht="15.15" customHeight="1" x14ac:dyDescent="0.25">
      <c r="A21" s="100" t="s">
        <v>253</v>
      </c>
      <c r="B21" s="101"/>
      <c r="C21" s="54">
        <f>SUM('Stavební rozpočet'!P12:P79)</f>
        <v>0</v>
      </c>
      <c r="D21" s="102"/>
      <c r="E21" s="103"/>
      <c r="F21" s="55"/>
      <c r="G21" s="102"/>
      <c r="H21" s="103"/>
      <c r="I21" s="55"/>
      <c r="J21" s="29"/>
    </row>
    <row r="22" spans="1:10" ht="16.649999999999999" customHeight="1" x14ac:dyDescent="0.25">
      <c r="A22" s="100" t="s">
        <v>254</v>
      </c>
      <c r="B22" s="101"/>
      <c r="C22" s="54">
        <f>SUM(C14:C21)</f>
        <v>0</v>
      </c>
      <c r="D22" s="100" t="s">
        <v>269</v>
      </c>
      <c r="E22" s="101"/>
      <c r="F22" s="54">
        <f>SUM(F14:F21)</f>
        <v>0</v>
      </c>
      <c r="G22" s="100" t="s">
        <v>282</v>
      </c>
      <c r="H22" s="101"/>
      <c r="I22" s="54">
        <f>SUM(I14:I21)</f>
        <v>0</v>
      </c>
      <c r="J22" s="29"/>
    </row>
    <row r="23" spans="1:10" ht="15.15" customHeight="1" x14ac:dyDescent="0.25">
      <c r="A23" s="7"/>
      <c r="B23" s="7"/>
      <c r="C23" s="52"/>
      <c r="D23" s="100" t="s">
        <v>270</v>
      </c>
      <c r="E23" s="101"/>
      <c r="F23" s="56">
        <v>0</v>
      </c>
      <c r="G23" s="100" t="s">
        <v>283</v>
      </c>
      <c r="H23" s="101"/>
      <c r="I23" s="54">
        <v>0</v>
      </c>
      <c r="J23" s="29"/>
    </row>
    <row r="24" spans="1:10" ht="15.15" customHeight="1" x14ac:dyDescent="0.25">
      <c r="D24" s="7"/>
      <c r="E24" s="7"/>
      <c r="F24" s="57"/>
      <c r="G24" s="100" t="s">
        <v>284</v>
      </c>
      <c r="H24" s="101"/>
      <c r="I24" s="54">
        <v>0</v>
      </c>
      <c r="J24" s="29"/>
    </row>
    <row r="25" spans="1:10" ht="15.15" customHeight="1" x14ac:dyDescent="0.25">
      <c r="F25" s="58"/>
      <c r="G25" s="100" t="s">
        <v>285</v>
      </c>
      <c r="H25" s="101"/>
      <c r="I25" s="54">
        <v>0</v>
      </c>
      <c r="J25" s="29"/>
    </row>
    <row r="26" spans="1:10" x14ac:dyDescent="0.25">
      <c r="A26" s="44"/>
      <c r="B26" s="44"/>
      <c r="C26" s="44"/>
      <c r="G26" s="7"/>
      <c r="H26" s="7"/>
      <c r="I26" s="7"/>
    </row>
    <row r="27" spans="1:10" ht="15.15" customHeight="1" x14ac:dyDescent="0.25">
      <c r="A27" s="95" t="s">
        <v>255</v>
      </c>
      <c r="B27" s="96"/>
      <c r="C27" s="59">
        <f>SUM('Stavební rozpočet'!Z12:Z79)</f>
        <v>0</v>
      </c>
      <c r="D27" s="53"/>
      <c r="E27" s="44"/>
      <c r="F27" s="44"/>
      <c r="G27" s="44"/>
      <c r="H27" s="44"/>
      <c r="I27" s="44"/>
    </row>
    <row r="28" spans="1:10" ht="15.15" customHeight="1" x14ac:dyDescent="0.25">
      <c r="A28" s="95" t="s">
        <v>256</v>
      </c>
      <c r="B28" s="96"/>
      <c r="C28" s="59">
        <f>SUM('Stavební rozpočet'!AA12:AA79)</f>
        <v>0</v>
      </c>
      <c r="D28" s="95" t="s">
        <v>271</v>
      </c>
      <c r="E28" s="96"/>
      <c r="F28" s="59">
        <f>ROUND(C28*(15/100),2)</f>
        <v>0</v>
      </c>
      <c r="G28" s="95" t="s">
        <v>286</v>
      </c>
      <c r="H28" s="96"/>
      <c r="I28" s="59">
        <f>SUM(C27:C29)</f>
        <v>0</v>
      </c>
      <c r="J28" s="29"/>
    </row>
    <row r="29" spans="1:10" ht="15.15" customHeight="1" x14ac:dyDescent="0.25">
      <c r="A29" s="95" t="s">
        <v>257</v>
      </c>
      <c r="B29" s="96"/>
      <c r="C29" s="59">
        <f>SUM('Stavební rozpočet'!AB12:AB79)+(F22+I22+F23+I23+I24+I25)</f>
        <v>0</v>
      </c>
      <c r="D29" s="95" t="s">
        <v>272</v>
      </c>
      <c r="E29" s="96"/>
      <c r="F29" s="59">
        <f>ROUND(C29*(21/100),2)</f>
        <v>0</v>
      </c>
      <c r="G29" s="95" t="s">
        <v>287</v>
      </c>
      <c r="H29" s="96"/>
      <c r="I29" s="59">
        <f>SUM(F28:F29)+I28</f>
        <v>0</v>
      </c>
      <c r="J29" s="29"/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</row>
    <row r="31" spans="1:10" ht="14.4" customHeight="1" x14ac:dyDescent="0.25">
      <c r="A31" s="97" t="s">
        <v>258</v>
      </c>
      <c r="B31" s="98"/>
      <c r="C31" s="99"/>
      <c r="D31" s="97" t="s">
        <v>273</v>
      </c>
      <c r="E31" s="98"/>
      <c r="F31" s="99"/>
      <c r="G31" s="97" t="s">
        <v>288</v>
      </c>
      <c r="H31" s="98"/>
      <c r="I31" s="99"/>
      <c r="J31" s="30"/>
    </row>
    <row r="32" spans="1:10" ht="14.4" customHeight="1" x14ac:dyDescent="0.25">
      <c r="A32" s="89"/>
      <c r="B32" s="90"/>
      <c r="C32" s="91"/>
      <c r="D32" s="89"/>
      <c r="E32" s="90"/>
      <c r="F32" s="91"/>
      <c r="G32" s="89"/>
      <c r="H32" s="90"/>
      <c r="I32" s="91"/>
      <c r="J32" s="30"/>
    </row>
    <row r="33" spans="1:10" ht="14.4" customHeight="1" x14ac:dyDescent="0.25">
      <c r="A33" s="89"/>
      <c r="B33" s="90"/>
      <c r="C33" s="91"/>
      <c r="D33" s="89"/>
      <c r="E33" s="90"/>
      <c r="F33" s="91"/>
      <c r="G33" s="89"/>
      <c r="H33" s="90"/>
      <c r="I33" s="91"/>
      <c r="J33" s="30"/>
    </row>
    <row r="34" spans="1:10" ht="14.4" customHeight="1" x14ac:dyDescent="0.25">
      <c r="A34" s="89"/>
      <c r="B34" s="90"/>
      <c r="C34" s="91"/>
      <c r="D34" s="89"/>
      <c r="E34" s="90"/>
      <c r="F34" s="91"/>
      <c r="G34" s="89"/>
      <c r="H34" s="90"/>
      <c r="I34" s="91"/>
      <c r="J34" s="30"/>
    </row>
    <row r="35" spans="1:10" ht="14.4" customHeight="1" x14ac:dyDescent="0.25">
      <c r="A35" s="92" t="s">
        <v>259</v>
      </c>
      <c r="B35" s="93"/>
      <c r="C35" s="94"/>
      <c r="D35" s="92" t="s">
        <v>259</v>
      </c>
      <c r="E35" s="93"/>
      <c r="F35" s="94"/>
      <c r="G35" s="92" t="s">
        <v>259</v>
      </c>
      <c r="H35" s="93"/>
      <c r="I35" s="94"/>
      <c r="J35" s="30"/>
    </row>
    <row r="36" spans="1:10" ht="11.25" customHeight="1" x14ac:dyDescent="0.25">
      <c r="A36" s="49" t="s">
        <v>52</v>
      </c>
      <c r="B36" s="51"/>
      <c r="C36" s="51"/>
      <c r="D36" s="51"/>
      <c r="E36" s="51"/>
      <c r="F36" s="51"/>
      <c r="G36" s="51"/>
      <c r="H36" s="51"/>
      <c r="I36" s="51"/>
    </row>
    <row r="37" spans="1:10" ht="409.6" hidden="1" customHeight="1" x14ac:dyDescent="0.25">
      <c r="A37" s="65"/>
      <c r="B37" s="66"/>
      <c r="C37" s="66"/>
      <c r="D37" s="66"/>
      <c r="E37" s="66"/>
      <c r="F37" s="66"/>
      <c r="G37" s="66"/>
      <c r="H37" s="66"/>
      <c r="I37" s="66"/>
    </row>
  </sheetData>
  <mergeCells count="83">
    <mergeCell ref="C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Výkaz výměr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Janák</dc:creator>
  <cp:lastModifiedBy>Štěpán Janák</cp:lastModifiedBy>
  <dcterms:created xsi:type="dcterms:W3CDTF">2020-07-23T10:56:55Z</dcterms:created>
  <dcterms:modified xsi:type="dcterms:W3CDTF">2020-07-23T10:56:55Z</dcterms:modified>
</cp:coreProperties>
</file>