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a\Documents\MOJE DOKUMENTY\Obec Kryštofovy Hamry\Informace úřední deska a www\Info 2019\Veřejná zakázka malého rozsahu\Sběrný dvůr\"/>
    </mc:Choice>
  </mc:AlternateContent>
  <xr:revisionPtr revIDLastSave="0" documentId="8_{F2AD83B9-D354-4FB8-8E5B-70CD62AD9E35}" xr6:coauthVersionLast="45" xr6:coauthVersionMax="45" xr10:uidLastSave="{00000000-0000-0000-0000-000000000000}"/>
  <bookViews>
    <workbookView xWindow="-108" yWindow="-108" windowWidth="23256" windowHeight="12576"/>
  </bookViews>
  <sheets>
    <sheet name="Stavební rozpočet" sheetId="1" r:id="rId1"/>
    <sheet name="Výkaz výměr" sheetId="2" r:id="rId2"/>
    <sheet name="Krycí list rozpočt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3" l="1"/>
  <c r="J13" i="1"/>
  <c r="J15" i="1"/>
  <c r="Z15" i="1"/>
  <c r="J16" i="1"/>
  <c r="J17" i="1"/>
  <c r="AB17" i="1"/>
  <c r="J18" i="1"/>
  <c r="J19" i="1"/>
  <c r="AA19" i="1"/>
  <c r="J21" i="1"/>
  <c r="J22" i="1"/>
  <c r="AB22" i="1"/>
  <c r="J24" i="1"/>
  <c r="Z24" i="1"/>
  <c r="J25" i="1"/>
  <c r="J26" i="1"/>
  <c r="Z26" i="1"/>
  <c r="J28" i="1"/>
  <c r="J29" i="1"/>
  <c r="J30" i="1"/>
  <c r="J32" i="1"/>
  <c r="Z32" i="1"/>
  <c r="AI31" i="1"/>
  <c r="J34" i="1"/>
  <c r="J35" i="1"/>
  <c r="AA35" i="1"/>
  <c r="J36" i="1"/>
  <c r="J37" i="1"/>
  <c r="AB37" i="1"/>
  <c r="J38" i="1"/>
  <c r="AA38" i="1"/>
  <c r="J39" i="1"/>
  <c r="AA39" i="1"/>
  <c r="J40" i="1"/>
  <c r="J41" i="1"/>
  <c r="Z41" i="1"/>
  <c r="J42" i="1"/>
  <c r="Z42" i="1"/>
  <c r="J43" i="1"/>
  <c r="AA43" i="1"/>
  <c r="J45" i="1"/>
  <c r="I45" i="1"/>
  <c r="O45" i="1"/>
  <c r="J46" i="1"/>
  <c r="AA46" i="1"/>
  <c r="J47" i="1"/>
  <c r="Z47" i="1"/>
  <c r="J48" i="1"/>
  <c r="J50" i="1"/>
  <c r="J51" i="1"/>
  <c r="J53" i="1"/>
  <c r="AB53" i="1"/>
  <c r="J54" i="1"/>
  <c r="AB54" i="1"/>
  <c r="J55" i="1"/>
  <c r="J56" i="1"/>
  <c r="AA56" i="1"/>
  <c r="J58" i="1"/>
  <c r="Z58" i="1"/>
  <c r="J59" i="1"/>
  <c r="AB59" i="1"/>
  <c r="J60" i="1"/>
  <c r="I60" i="1"/>
  <c r="O60" i="1"/>
  <c r="J61" i="1"/>
  <c r="Z61" i="1"/>
  <c r="J63" i="1"/>
  <c r="Z63" i="1"/>
  <c r="J64" i="1"/>
  <c r="AA64" i="1"/>
  <c r="J65" i="1"/>
  <c r="AB65" i="1"/>
  <c r="J67" i="1"/>
  <c r="J69" i="1"/>
  <c r="AB69" i="1"/>
  <c r="J71" i="1"/>
  <c r="Z71" i="1"/>
  <c r="J72" i="1"/>
  <c r="J74" i="1"/>
  <c r="Z74" i="1"/>
  <c r="AI73" i="1"/>
  <c r="J76" i="1"/>
  <c r="AB76" i="1"/>
  <c r="AK75" i="1"/>
  <c r="J78" i="1"/>
  <c r="Z78" i="1"/>
  <c r="J80" i="1"/>
  <c r="J82" i="1"/>
  <c r="Z82" i="1"/>
  <c r="J83" i="1"/>
  <c r="AA83" i="1"/>
  <c r="J85" i="1"/>
  <c r="L13" i="1"/>
  <c r="L12" i="1"/>
  <c r="L15" i="1"/>
  <c r="L16" i="1"/>
  <c r="L17" i="1"/>
  <c r="L18" i="1"/>
  <c r="L14" i="1"/>
  <c r="L19" i="1"/>
  <c r="L21" i="1"/>
  <c r="L22" i="1"/>
  <c r="L24" i="1"/>
  <c r="L23" i="1"/>
  <c r="L25" i="1"/>
  <c r="L26" i="1"/>
  <c r="L28" i="1"/>
  <c r="L29" i="1"/>
  <c r="L30" i="1"/>
  <c r="L32" i="1"/>
  <c r="L31" i="1"/>
  <c r="L34" i="1"/>
  <c r="L35" i="1"/>
  <c r="L36" i="1"/>
  <c r="L37" i="1"/>
  <c r="L38" i="1"/>
  <c r="L39" i="1"/>
  <c r="L40" i="1"/>
  <c r="L41" i="1"/>
  <c r="L42" i="1"/>
  <c r="L43" i="1"/>
  <c r="L45" i="1"/>
  <c r="L46" i="1"/>
  <c r="L47" i="1"/>
  <c r="L48" i="1"/>
  <c r="L50" i="1"/>
  <c r="L49" i="1"/>
  <c r="L51" i="1"/>
  <c r="L53" i="1"/>
  <c r="L54" i="1"/>
  <c r="L55" i="1"/>
  <c r="L56" i="1"/>
  <c r="L58" i="1"/>
  <c r="L59" i="1"/>
  <c r="L57" i="1"/>
  <c r="L60" i="1"/>
  <c r="L61" i="1"/>
  <c r="L63" i="1"/>
  <c r="L62" i="1"/>
  <c r="L64" i="1"/>
  <c r="L65" i="1"/>
  <c r="L67" i="1"/>
  <c r="L66" i="1"/>
  <c r="L69" i="1"/>
  <c r="L68" i="1"/>
  <c r="L71" i="1"/>
  <c r="L70" i="1"/>
  <c r="L72" i="1"/>
  <c r="L74" i="1"/>
  <c r="L73" i="1"/>
  <c r="L75" i="1"/>
  <c r="L76" i="1"/>
  <c r="L78" i="1"/>
  <c r="L77" i="1"/>
  <c r="L79" i="1"/>
  <c r="L80" i="1"/>
  <c r="L82" i="1"/>
  <c r="L83" i="1"/>
  <c r="L81" i="1"/>
  <c r="L85" i="1"/>
  <c r="L84" i="1"/>
  <c r="Z16" i="1"/>
  <c r="Z17" i="1"/>
  <c r="Z19" i="1"/>
  <c r="Z21" i="1"/>
  <c r="Z28" i="1"/>
  <c r="Z34" i="1"/>
  <c r="Z37" i="1"/>
  <c r="Z38" i="1"/>
  <c r="Z39" i="1"/>
  <c r="Z48" i="1"/>
  <c r="Z51" i="1"/>
  <c r="Z54" i="1"/>
  <c r="Z56" i="1"/>
  <c r="Z64" i="1"/>
  <c r="Z67" i="1"/>
  <c r="Z69" i="1"/>
  <c r="AA15" i="1"/>
  <c r="AA16" i="1"/>
  <c r="AA18" i="1"/>
  <c r="AA21" i="1"/>
  <c r="AA26" i="1"/>
  <c r="AA28" i="1"/>
  <c r="AA29" i="1"/>
  <c r="AA32" i="1"/>
  <c r="AJ31" i="1"/>
  <c r="AA34" i="1"/>
  <c r="AA37" i="1"/>
  <c r="AA41" i="1"/>
  <c r="AA42" i="1"/>
  <c r="AA47" i="1"/>
  <c r="AA51" i="1"/>
  <c r="AA54" i="1"/>
  <c r="AA58" i="1"/>
  <c r="AA61" i="1"/>
  <c r="AA63" i="1"/>
  <c r="AA67" i="1"/>
  <c r="AJ66" i="1"/>
  <c r="AA69" i="1"/>
  <c r="AJ68" i="1"/>
  <c r="AA74" i="1"/>
  <c r="AA78" i="1"/>
  <c r="AJ77" i="1"/>
  <c r="AA82" i="1"/>
  <c r="AA85" i="1"/>
  <c r="AJ84" i="1"/>
  <c r="AB16" i="1"/>
  <c r="AB18" i="1"/>
  <c r="AB19" i="1"/>
  <c r="AB21" i="1"/>
  <c r="AB26" i="1"/>
  <c r="AB28" i="1"/>
  <c r="AB29" i="1"/>
  <c r="AB32" i="1"/>
  <c r="AB34" i="1"/>
  <c r="AB35" i="1"/>
  <c r="AB41" i="1"/>
  <c r="AB43" i="1"/>
  <c r="AB46" i="1"/>
  <c r="AB47" i="1"/>
  <c r="AB51" i="1"/>
  <c r="AB56" i="1"/>
  <c r="AB58" i="1"/>
  <c r="AB61" i="1"/>
  <c r="AB64" i="1"/>
  <c r="AB67" i="1"/>
  <c r="AK66" i="1"/>
  <c r="AB74" i="1"/>
  <c r="AB78" i="1"/>
  <c r="AK77" i="1"/>
  <c r="AB82" i="1"/>
  <c r="AB85" i="1"/>
  <c r="AK84" i="1"/>
  <c r="AE13" i="1"/>
  <c r="H13" i="1"/>
  <c r="AE15" i="1"/>
  <c r="H15" i="1"/>
  <c r="AE16" i="1"/>
  <c r="H16" i="1"/>
  <c r="AE17" i="1"/>
  <c r="H17" i="1"/>
  <c r="I17" i="1"/>
  <c r="O17" i="1"/>
  <c r="AE18" i="1"/>
  <c r="H18" i="1"/>
  <c r="AE19" i="1"/>
  <c r="H19" i="1"/>
  <c r="I19" i="1"/>
  <c r="O19" i="1"/>
  <c r="AE21" i="1"/>
  <c r="H21" i="1"/>
  <c r="I21" i="1"/>
  <c r="AE22" i="1"/>
  <c r="H22" i="1"/>
  <c r="I22" i="1"/>
  <c r="O22" i="1"/>
  <c r="AE24" i="1"/>
  <c r="H24" i="1"/>
  <c r="AE25" i="1"/>
  <c r="H25" i="1"/>
  <c r="AE26" i="1"/>
  <c r="H26" i="1"/>
  <c r="I26" i="1"/>
  <c r="O26" i="1"/>
  <c r="AE28" i="1"/>
  <c r="H28" i="1"/>
  <c r="I28" i="1"/>
  <c r="O28" i="1"/>
  <c r="AE29" i="1"/>
  <c r="H29" i="1"/>
  <c r="AE30" i="1"/>
  <c r="H30" i="1"/>
  <c r="AE32" i="1"/>
  <c r="H32" i="1"/>
  <c r="AE34" i="1"/>
  <c r="H34" i="1"/>
  <c r="AE35" i="1"/>
  <c r="H35" i="1"/>
  <c r="AE36" i="1"/>
  <c r="H36" i="1"/>
  <c r="AE37" i="1"/>
  <c r="H37" i="1"/>
  <c r="I37" i="1"/>
  <c r="O37" i="1"/>
  <c r="AE38" i="1"/>
  <c r="H38" i="1"/>
  <c r="I38" i="1"/>
  <c r="O38" i="1"/>
  <c r="AE39" i="1"/>
  <c r="H39" i="1"/>
  <c r="I39" i="1"/>
  <c r="O39" i="1"/>
  <c r="AE40" i="1"/>
  <c r="H40" i="1"/>
  <c r="AE41" i="1"/>
  <c r="H41" i="1"/>
  <c r="I41" i="1"/>
  <c r="O41" i="1"/>
  <c r="AE42" i="1"/>
  <c r="H42" i="1"/>
  <c r="I42" i="1"/>
  <c r="O42" i="1"/>
  <c r="AE43" i="1"/>
  <c r="H43" i="1"/>
  <c r="AE45" i="1"/>
  <c r="H45" i="1"/>
  <c r="AE46" i="1"/>
  <c r="H46" i="1"/>
  <c r="AE47" i="1"/>
  <c r="H47" i="1"/>
  <c r="AE48" i="1"/>
  <c r="H48" i="1"/>
  <c r="I48" i="1"/>
  <c r="O48" i="1"/>
  <c r="AE50" i="1"/>
  <c r="H50" i="1"/>
  <c r="AE51" i="1"/>
  <c r="H51" i="1"/>
  <c r="I51" i="1"/>
  <c r="O51" i="1"/>
  <c r="AE53" i="1"/>
  <c r="H53" i="1"/>
  <c r="I53" i="1"/>
  <c r="AE54" i="1"/>
  <c r="H54" i="1"/>
  <c r="I54" i="1"/>
  <c r="O54" i="1"/>
  <c r="AE55" i="1"/>
  <c r="H55" i="1"/>
  <c r="AE56" i="1"/>
  <c r="H56" i="1"/>
  <c r="H52" i="1"/>
  <c r="T52" i="1"/>
  <c r="AE58" i="1"/>
  <c r="H58" i="1"/>
  <c r="I58" i="1"/>
  <c r="O58" i="1"/>
  <c r="AE59" i="1"/>
  <c r="H59" i="1"/>
  <c r="I59" i="1"/>
  <c r="AE60" i="1"/>
  <c r="H60" i="1"/>
  <c r="AE61" i="1"/>
  <c r="H61" i="1"/>
  <c r="I61" i="1"/>
  <c r="O61" i="1"/>
  <c r="AE63" i="1"/>
  <c r="H63" i="1"/>
  <c r="AE64" i="1"/>
  <c r="H64" i="1"/>
  <c r="AE65" i="1"/>
  <c r="H65" i="1"/>
  <c r="AE67" i="1"/>
  <c r="H67" i="1"/>
  <c r="H66" i="1"/>
  <c r="V66" i="1"/>
  <c r="AE69" i="1"/>
  <c r="H69" i="1"/>
  <c r="AE71" i="1"/>
  <c r="H71" i="1"/>
  <c r="AE72" i="1"/>
  <c r="H72" i="1"/>
  <c r="H70" i="1"/>
  <c r="AE74" i="1"/>
  <c r="H74" i="1"/>
  <c r="AE76" i="1"/>
  <c r="H76" i="1"/>
  <c r="H75" i="1"/>
  <c r="T75" i="1"/>
  <c r="AE78" i="1"/>
  <c r="H78" i="1"/>
  <c r="AE80" i="1"/>
  <c r="H80" i="1"/>
  <c r="H79" i="1"/>
  <c r="AE82" i="1"/>
  <c r="H82" i="1"/>
  <c r="H81" i="1"/>
  <c r="T81" i="1"/>
  <c r="AE83" i="1"/>
  <c r="H83" i="1"/>
  <c r="I83" i="1"/>
  <c r="O83" i="1"/>
  <c r="AE85" i="1"/>
  <c r="H85" i="1"/>
  <c r="H84" i="1"/>
  <c r="AF13" i="1"/>
  <c r="AF15" i="1"/>
  <c r="AF16" i="1"/>
  <c r="AF17" i="1"/>
  <c r="AF18" i="1"/>
  <c r="AF19" i="1"/>
  <c r="AF21" i="1"/>
  <c r="AF22" i="1"/>
  <c r="AF24" i="1"/>
  <c r="AF25" i="1"/>
  <c r="AF26" i="1"/>
  <c r="AF28" i="1"/>
  <c r="AF29" i="1"/>
  <c r="AF30" i="1"/>
  <c r="AF32" i="1"/>
  <c r="AF34" i="1"/>
  <c r="AF35" i="1"/>
  <c r="AF36" i="1"/>
  <c r="AF37" i="1"/>
  <c r="AF38" i="1"/>
  <c r="AF39" i="1"/>
  <c r="AF40" i="1"/>
  <c r="AF41" i="1"/>
  <c r="AF42" i="1"/>
  <c r="AF43" i="1"/>
  <c r="AF45" i="1"/>
  <c r="AF46" i="1"/>
  <c r="AF47" i="1"/>
  <c r="AF48" i="1"/>
  <c r="AF50" i="1"/>
  <c r="AF51" i="1"/>
  <c r="AF53" i="1"/>
  <c r="AF54" i="1"/>
  <c r="AF55" i="1"/>
  <c r="AF56" i="1"/>
  <c r="AF58" i="1"/>
  <c r="AF59" i="1"/>
  <c r="AF60" i="1"/>
  <c r="AF61" i="1"/>
  <c r="AF63" i="1"/>
  <c r="AF64" i="1"/>
  <c r="AF65" i="1"/>
  <c r="AF67" i="1"/>
  <c r="AF69" i="1"/>
  <c r="AF71" i="1"/>
  <c r="AF72" i="1"/>
  <c r="AF74" i="1"/>
  <c r="AF76" i="1"/>
  <c r="AF78" i="1"/>
  <c r="AF80" i="1"/>
  <c r="AF82" i="1"/>
  <c r="AF83" i="1"/>
  <c r="AF85" i="1"/>
  <c r="AI66" i="1"/>
  <c r="AI68" i="1"/>
  <c r="AI77" i="1"/>
  <c r="AJ73" i="1"/>
  <c r="AJ81" i="1"/>
  <c r="AK20" i="1"/>
  <c r="AK31" i="1"/>
  <c r="AK68" i="1"/>
  <c r="AK73" i="1"/>
  <c r="V79" i="1"/>
  <c r="X75" i="1"/>
  <c r="R75" i="1"/>
  <c r="V75" i="1"/>
  <c r="I34" i="1"/>
  <c r="I56" i="1"/>
  <c r="O56" i="1"/>
  <c r="I16" i="1"/>
  <c r="O16" i="1"/>
  <c r="I76" i="1"/>
  <c r="I75" i="1"/>
  <c r="I47" i="1"/>
  <c r="O47" i="1"/>
  <c r="I71" i="1"/>
  <c r="I64" i="1"/>
  <c r="O64" i="1"/>
  <c r="I43" i="1"/>
  <c r="O43" i="1"/>
  <c r="I29" i="1"/>
  <c r="O29" i="1"/>
  <c r="I72" i="1"/>
  <c r="O72" i="1"/>
  <c r="I40" i="1"/>
  <c r="O40" i="1"/>
  <c r="I36" i="1"/>
  <c r="O36" i="1"/>
  <c r="I25" i="1"/>
  <c r="O25" i="1"/>
  <c r="Z85" i="1"/>
  <c r="AI84" i="1"/>
  <c r="Z29" i="1"/>
  <c r="Z13" i="1"/>
  <c r="AA17" i="1"/>
  <c r="Z45" i="1"/>
  <c r="AI12" i="1"/>
  <c r="O34" i="1"/>
  <c r="O71" i="1"/>
  <c r="J75" i="1"/>
  <c r="V84" i="1"/>
  <c r="X84" i="1"/>
  <c r="I82" i="1"/>
  <c r="X81" i="1"/>
  <c r="AB83" i="1"/>
  <c r="AK81" i="1"/>
  <c r="Z83" i="1"/>
  <c r="R81" i="1"/>
  <c r="I78" i="1"/>
  <c r="H77" i="1"/>
  <c r="AA76" i="1"/>
  <c r="AJ75" i="1"/>
  <c r="O76" i="1"/>
  <c r="P75" i="1"/>
  <c r="Z76" i="1"/>
  <c r="AI75" i="1"/>
  <c r="H73" i="1"/>
  <c r="I74" i="1"/>
  <c r="I70" i="1"/>
  <c r="AA71" i="1"/>
  <c r="AB71" i="1"/>
  <c r="H68" i="1"/>
  <c r="I69" i="1"/>
  <c r="R66" i="1"/>
  <c r="I67" i="1"/>
  <c r="AB63" i="1"/>
  <c r="I63" i="1"/>
  <c r="O63" i="1"/>
  <c r="AB60" i="1"/>
  <c r="AK57" i="1"/>
  <c r="AA59" i="1"/>
  <c r="Z59" i="1"/>
  <c r="V52" i="1"/>
  <c r="X52" i="1"/>
  <c r="H44" i="1"/>
  <c r="T44" i="1"/>
  <c r="I46" i="1"/>
  <c r="Z46" i="1"/>
  <c r="AI44" i="1"/>
  <c r="Z43" i="1"/>
  <c r="AB42" i="1"/>
  <c r="AB39" i="1"/>
  <c r="AB38" i="1"/>
  <c r="Z35" i="1"/>
  <c r="H31" i="1"/>
  <c r="I32" i="1"/>
  <c r="H27" i="1"/>
  <c r="X27" i="1"/>
  <c r="H23" i="1"/>
  <c r="X23" i="1"/>
  <c r="AB24" i="1"/>
  <c r="I24" i="1"/>
  <c r="AA24" i="1"/>
  <c r="AA22" i="1"/>
  <c r="O21" i="1"/>
  <c r="I20" i="1"/>
  <c r="AJ14" i="1"/>
  <c r="R70" i="1"/>
  <c r="V70" i="1"/>
  <c r="T70" i="1"/>
  <c r="X70" i="1"/>
  <c r="J70" i="1"/>
  <c r="P70" i="1"/>
  <c r="U70" i="1"/>
  <c r="I50" i="1"/>
  <c r="H49" i="1"/>
  <c r="H33" i="1"/>
  <c r="I35" i="1"/>
  <c r="O53" i="1"/>
  <c r="O59" i="1"/>
  <c r="I57" i="1"/>
  <c r="O46" i="1"/>
  <c r="I44" i="1"/>
  <c r="J44" i="1"/>
  <c r="P44" i="1"/>
  <c r="R73" i="1"/>
  <c r="V73" i="1"/>
  <c r="X73" i="1"/>
  <c r="T73" i="1"/>
  <c r="R27" i="1"/>
  <c r="T27" i="1"/>
  <c r="V27" i="1"/>
  <c r="S70" i="1"/>
  <c r="T23" i="1"/>
  <c r="R23" i="1"/>
  <c r="H14" i="1"/>
  <c r="R44" i="1"/>
  <c r="I80" i="1"/>
  <c r="R84" i="1"/>
  <c r="I85" i="1"/>
  <c r="V23" i="1"/>
  <c r="T66" i="1"/>
  <c r="X66" i="1"/>
  <c r="L27" i="1"/>
  <c r="AA80" i="1"/>
  <c r="AJ79" i="1"/>
  <c r="Z80" i="1"/>
  <c r="AI79" i="1"/>
  <c r="AB80" i="1"/>
  <c r="AK79" i="1"/>
  <c r="AA72" i="1"/>
  <c r="AJ70" i="1"/>
  <c r="Z72" i="1"/>
  <c r="AI70" i="1"/>
  <c r="AB72" i="1"/>
  <c r="AK70" i="1"/>
  <c r="AA65" i="1"/>
  <c r="AJ62" i="1"/>
  <c r="I65" i="1"/>
  <c r="Z65" i="1"/>
  <c r="AI62" i="1"/>
  <c r="Z60" i="1"/>
  <c r="AI57" i="1"/>
  <c r="AA60" i="1"/>
  <c r="AJ57" i="1"/>
  <c r="AA55" i="1"/>
  <c r="Z55" i="1"/>
  <c r="I55" i="1"/>
  <c r="O55" i="1"/>
  <c r="AA50" i="1"/>
  <c r="AJ49" i="1"/>
  <c r="AB50" i="1"/>
  <c r="AK49" i="1"/>
  <c r="AB45" i="1"/>
  <c r="AA45" i="1"/>
  <c r="AB40" i="1"/>
  <c r="AK33" i="1"/>
  <c r="Z40" i="1"/>
  <c r="AB36" i="1"/>
  <c r="Z36" i="1"/>
  <c r="AI33" i="1"/>
  <c r="AA30" i="1"/>
  <c r="AJ27" i="1"/>
  <c r="AB30" i="1"/>
  <c r="AK27" i="1"/>
  <c r="Z30" i="1"/>
  <c r="AI27" i="1"/>
  <c r="I30" i="1"/>
  <c r="AA25" i="1"/>
  <c r="Z25" i="1"/>
  <c r="AI23" i="1"/>
  <c r="H12" i="1"/>
  <c r="I13" i="1"/>
  <c r="AB25" i="1"/>
  <c r="AK23" i="1"/>
  <c r="AA36" i="1"/>
  <c r="AJ20" i="1"/>
  <c r="Z50" i="1"/>
  <c r="AI49" i="1"/>
  <c r="R79" i="1"/>
  <c r="X79" i="1"/>
  <c r="R31" i="1"/>
  <c r="T31" i="1"/>
  <c r="V81" i="1"/>
  <c r="R52" i="1"/>
  <c r="I15" i="1"/>
  <c r="T84" i="1"/>
  <c r="H62" i="1"/>
  <c r="T79" i="1"/>
  <c r="R68" i="1"/>
  <c r="V68" i="1"/>
  <c r="H20" i="1"/>
  <c r="AB55" i="1"/>
  <c r="AK52" i="1"/>
  <c r="AA40" i="1"/>
  <c r="L44" i="1"/>
  <c r="L33" i="1"/>
  <c r="H57" i="1"/>
  <c r="AI81" i="1"/>
  <c r="Z22" i="1"/>
  <c r="AI20" i="1"/>
  <c r="L52" i="1"/>
  <c r="L20" i="1"/>
  <c r="AA48" i="1"/>
  <c r="AB48" i="1"/>
  <c r="Z18" i="1"/>
  <c r="I18" i="1"/>
  <c r="O18" i="1"/>
  <c r="AA13" i="1"/>
  <c r="AB13" i="1"/>
  <c r="AK62" i="1"/>
  <c r="AB15" i="1"/>
  <c r="AK14" i="1"/>
  <c r="Z53" i="1"/>
  <c r="AI52" i="1"/>
  <c r="AA53" i="1"/>
  <c r="AJ52" i="1"/>
  <c r="I81" i="1"/>
  <c r="O82" i="1"/>
  <c r="R77" i="1"/>
  <c r="T77" i="1"/>
  <c r="X77" i="1"/>
  <c r="V77" i="1"/>
  <c r="O78" i="1"/>
  <c r="I77" i="1"/>
  <c r="S75" i="1"/>
  <c r="U75" i="1"/>
  <c r="W75" i="1"/>
  <c r="I73" i="1"/>
  <c r="J73" i="1"/>
  <c r="O74" i="1"/>
  <c r="W70" i="1"/>
  <c r="O69" i="1"/>
  <c r="I68" i="1"/>
  <c r="T68" i="1"/>
  <c r="X68" i="1"/>
  <c r="I66" i="1"/>
  <c r="O67" i="1"/>
  <c r="AJ44" i="1"/>
  <c r="V44" i="1"/>
  <c r="X44" i="1"/>
  <c r="O32" i="1"/>
  <c r="I31" i="1"/>
  <c r="V31" i="1"/>
  <c r="J31" i="1"/>
  <c r="P31" i="1"/>
  <c r="X31" i="1"/>
  <c r="AJ23" i="1"/>
  <c r="O24" i="1"/>
  <c r="I23" i="1"/>
  <c r="AI14" i="1"/>
  <c r="C24" i="3"/>
  <c r="Z86" i="1"/>
  <c r="J57" i="1"/>
  <c r="P57" i="1"/>
  <c r="W57" i="1"/>
  <c r="X57" i="1"/>
  <c r="T57" i="1"/>
  <c r="R57" i="1"/>
  <c r="V57" i="1"/>
  <c r="O15" i="1"/>
  <c r="I14" i="1"/>
  <c r="J14" i="1"/>
  <c r="P14" i="1"/>
  <c r="T33" i="1"/>
  <c r="X33" i="1"/>
  <c r="R33" i="1"/>
  <c r="V33" i="1"/>
  <c r="AB86" i="1"/>
  <c r="AK12" i="1"/>
  <c r="I79" i="1"/>
  <c r="O80" i="1"/>
  <c r="I52" i="1"/>
  <c r="T49" i="1"/>
  <c r="R49" i="1"/>
  <c r="V49" i="1"/>
  <c r="X49" i="1"/>
  <c r="AA86" i="1"/>
  <c r="C25" i="3"/>
  <c r="F25" i="3"/>
  <c r="AJ12" i="1"/>
  <c r="R20" i="1"/>
  <c r="X20" i="1"/>
  <c r="V20" i="1"/>
  <c r="T20" i="1"/>
  <c r="J20" i="1"/>
  <c r="P20" i="1"/>
  <c r="T62" i="1"/>
  <c r="X62" i="1"/>
  <c r="R62" i="1"/>
  <c r="V62" i="1"/>
  <c r="X12" i="1"/>
  <c r="R12" i="1"/>
  <c r="V12" i="1"/>
  <c r="T12" i="1"/>
  <c r="AK44" i="1"/>
  <c r="W44" i="1"/>
  <c r="S44" i="1"/>
  <c r="U44" i="1"/>
  <c r="I49" i="1"/>
  <c r="J49" i="1"/>
  <c r="P49" i="1"/>
  <c r="O50" i="1"/>
  <c r="T14" i="1"/>
  <c r="R14" i="1"/>
  <c r="X14" i="1"/>
  <c r="V14" i="1"/>
  <c r="O13" i="1"/>
  <c r="I12" i="1"/>
  <c r="J12" i="1"/>
  <c r="O30" i="1"/>
  <c r="I27" i="1"/>
  <c r="AJ33" i="1"/>
  <c r="O65" i="1"/>
  <c r="I62" i="1"/>
  <c r="J62" i="1"/>
  <c r="P62" i="1"/>
  <c r="O85" i="1"/>
  <c r="I84" i="1"/>
  <c r="O35" i="1"/>
  <c r="I33" i="1"/>
  <c r="J33" i="1"/>
  <c r="P33" i="1"/>
  <c r="J81" i="1"/>
  <c r="P81" i="1"/>
  <c r="W81" i="1"/>
  <c r="U81" i="1"/>
  <c r="J77" i="1"/>
  <c r="P77" i="1"/>
  <c r="W77" i="1"/>
  <c r="P73" i="1"/>
  <c r="J68" i="1"/>
  <c r="P68" i="1"/>
  <c r="U68" i="1"/>
  <c r="W68" i="1"/>
  <c r="S66" i="1"/>
  <c r="U66" i="1"/>
  <c r="J66" i="1"/>
  <c r="P66" i="1"/>
  <c r="W66" i="1"/>
  <c r="W31" i="1"/>
  <c r="U31" i="1"/>
  <c r="S31" i="1"/>
  <c r="J23" i="1"/>
  <c r="P23" i="1"/>
  <c r="U23" i="1"/>
  <c r="C20" i="3"/>
  <c r="J27" i="1"/>
  <c r="P27" i="1"/>
  <c r="U27" i="1"/>
  <c r="S33" i="1"/>
  <c r="U33" i="1"/>
  <c r="W33" i="1"/>
  <c r="J79" i="1"/>
  <c r="P79" i="1"/>
  <c r="S79" i="1"/>
  <c r="W79" i="1"/>
  <c r="C18" i="3"/>
  <c r="W20" i="1"/>
  <c r="U20" i="1"/>
  <c r="S20" i="1"/>
  <c r="U57" i="1"/>
  <c r="S14" i="1"/>
  <c r="W14" i="1"/>
  <c r="U14" i="1"/>
  <c r="P12" i="1"/>
  <c r="S12" i="1"/>
  <c r="U62" i="1"/>
  <c r="S62" i="1"/>
  <c r="W62" i="1"/>
  <c r="C16" i="3"/>
  <c r="S57" i="1"/>
  <c r="J84" i="1"/>
  <c r="P84" i="1"/>
  <c r="U84" i="1"/>
  <c r="W49" i="1"/>
  <c r="U49" i="1"/>
  <c r="S49" i="1"/>
  <c r="C14" i="3"/>
  <c r="J52" i="1"/>
  <c r="P52" i="1"/>
  <c r="S52" i="1"/>
  <c r="W84" i="1"/>
  <c r="S84" i="1"/>
  <c r="S81" i="1"/>
  <c r="U79" i="1"/>
  <c r="S77" i="1"/>
  <c r="U77" i="1"/>
  <c r="S73" i="1"/>
  <c r="U73" i="1"/>
  <c r="W73" i="1"/>
  <c r="S68" i="1"/>
  <c r="U52" i="1"/>
  <c r="W52" i="1"/>
  <c r="J86" i="1"/>
  <c r="W23" i="1"/>
  <c r="S23" i="1"/>
  <c r="W12" i="1"/>
  <c r="S27" i="1"/>
  <c r="C15" i="3"/>
  <c r="W27" i="1"/>
  <c r="C21" i="3"/>
  <c r="U12" i="1"/>
  <c r="C17" i="3"/>
  <c r="C19" i="3"/>
  <c r="C22" i="3"/>
  <c r="I22" i="3"/>
  <c r="C26" i="3"/>
  <c r="F26" i="3"/>
  <c r="I25" i="3"/>
  <c r="I26" i="3"/>
</calcChain>
</file>

<file path=xl/sharedStrings.xml><?xml version="1.0" encoding="utf-8"?>
<sst xmlns="http://schemas.openxmlformats.org/spreadsheetml/2006/main" count="676" uniqueCount="291">
  <si>
    <t>Stavební rozpočet</t>
  </si>
  <si>
    <t>Název stavby:</t>
  </si>
  <si>
    <t>Druh stavby:</t>
  </si>
  <si>
    <t>Lokalita:</t>
  </si>
  <si>
    <t>JKSO:</t>
  </si>
  <si>
    <t xml:space="preserve"> </t>
  </si>
  <si>
    <t>Č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</si>
  <si>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</si>
  <si>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</si>
  <si>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</si>
  <si>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</si>
  <si>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</si>
  <si>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</si>
  <si>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</si>
  <si>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</si>
  <si>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</si>
  <si>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</si>
  <si>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</si>
  <si>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</si>
  <si>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</si>
  <si>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</si>
  <si>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</si>
  <si>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</si>
  <si>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</si>
  <si>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</si>
  <si>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</si>
  <si>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</si>
  <si>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</si>
  <si>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</si>
  <si>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</si>
  <si>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</si>
  <si>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</si>
  <si>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</si>
  <si>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</si>
  <si>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</si>
  <si>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</si>
  <si>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</si>
  <si>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</si>
  <si>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</si>
  <si>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</si>
  <si>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</si>
  <si>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</si>
  <si>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</si>
  <si>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</si>
  <si>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</si>
  <si>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</si>
  <si>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</si>
  <si>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</si>
  <si>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</si>
  <si>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</si>
  <si>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</si>
  <si>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</si>
  <si>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</si>
  <si>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</si>
  <si>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</si>
  <si>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</si>
  <si>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</si>
  <si>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</si>
  <si>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</si>
  <si>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</si>
  <si>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Objekt</t>
  </si>
  <si>
    <t>Kód</t>
  </si>
  <si>
    <t>112201115R00</t>
  </si>
  <si>
    <t>132201201R00</t>
  </si>
  <si>
    <t>132201101R00</t>
  </si>
  <si>
    <t>132201209R00</t>
  </si>
  <si>
    <t>132201109R00</t>
  </si>
  <si>
    <t>131105112R00</t>
  </si>
  <si>
    <t>162201102R00</t>
  </si>
  <si>
    <t>162303111R00</t>
  </si>
  <si>
    <t>171101101R00</t>
  </si>
  <si>
    <t>171201101R00</t>
  </si>
  <si>
    <t>174100050RAC</t>
  </si>
  <si>
    <t>181201111R00</t>
  </si>
  <si>
    <t>182301124R00</t>
  </si>
  <si>
    <t>180400011RA0</t>
  </si>
  <si>
    <t>212755114RX1</t>
  </si>
  <si>
    <t>274313621R00</t>
  </si>
  <si>
    <t>274354111R00</t>
  </si>
  <si>
    <t>274354211R00</t>
  </si>
  <si>
    <t>271570010RAB</t>
  </si>
  <si>
    <t>273314117R00</t>
  </si>
  <si>
    <t>273351215R00</t>
  </si>
  <si>
    <t>273351216R00</t>
  </si>
  <si>
    <t>273361921RT4</t>
  </si>
  <si>
    <t>271570010RAC</t>
  </si>
  <si>
    <t>275313611R00</t>
  </si>
  <si>
    <t>311112140RT3</t>
  </si>
  <si>
    <t>311423123R00</t>
  </si>
  <si>
    <t>311361621R00</t>
  </si>
  <si>
    <t>312311811R00</t>
  </si>
  <si>
    <t>339928812R00</t>
  </si>
  <si>
    <t>339928822R00</t>
  </si>
  <si>
    <t>417351115R00</t>
  </si>
  <si>
    <t>417351116R00</t>
  </si>
  <si>
    <t>417321415R00</t>
  </si>
  <si>
    <t>417361921RT4</t>
  </si>
  <si>
    <t>56</t>
  </si>
  <si>
    <t>564251111R00</t>
  </si>
  <si>
    <t>564241111R00</t>
  </si>
  <si>
    <t>565141121R00</t>
  </si>
  <si>
    <t>567123811R00</t>
  </si>
  <si>
    <t>57</t>
  </si>
  <si>
    <t>571907211R00</t>
  </si>
  <si>
    <t>573211111R00</t>
  </si>
  <si>
    <t>577112113R00</t>
  </si>
  <si>
    <t>59</t>
  </si>
  <si>
    <t>594511111RT2</t>
  </si>
  <si>
    <t>711</t>
  </si>
  <si>
    <t>711502001RZ1</t>
  </si>
  <si>
    <t>767</t>
  </si>
  <si>
    <t>767911130R00</t>
  </si>
  <si>
    <t>767137611R00</t>
  </si>
  <si>
    <t>91</t>
  </si>
  <si>
    <t>911332211R00</t>
  </si>
  <si>
    <t>97</t>
  </si>
  <si>
    <t>971035561R00</t>
  </si>
  <si>
    <t>H22</t>
  </si>
  <si>
    <t>998222011R00</t>
  </si>
  <si>
    <t>M36</t>
  </si>
  <si>
    <t>360020591R00</t>
  </si>
  <si>
    <t>S</t>
  </si>
  <si>
    <t>979095312R00</t>
  </si>
  <si>
    <t>979082312R00</t>
  </si>
  <si>
    <t>31171804.A</t>
  </si>
  <si>
    <t>Sběrný dvůr Kryštofovy Hamry</t>
  </si>
  <si>
    <t>Kryštofovy Hamry</t>
  </si>
  <si>
    <t>Zkrácený popis</t>
  </si>
  <si>
    <t>Přípravné a přidružené práce</t>
  </si>
  <si>
    <t>Odstranění pařezů o průměru do 60 cm, svah 1:5</t>
  </si>
  <si>
    <t>Hloubené vykopávky</t>
  </si>
  <si>
    <t>Hloubení rýh šířky do 200 cm v hor.3 do 100 m3</t>
  </si>
  <si>
    <t>Hloubení rýh šířky do 60 cm v hor.3 do 100 m3</t>
  </si>
  <si>
    <t>Příplatek za lepivost - hloubení rýh 200cm v hor.3</t>
  </si>
  <si>
    <t>Příplatek za lepivost - hloubení rýh 60 cm v hor.3</t>
  </si>
  <si>
    <t>Hloubení jamek pro sloupky a vzpěry  hl. 0,5 m</t>
  </si>
  <si>
    <t>Přemístění výkopku</t>
  </si>
  <si>
    <t>Vodorovné přemístění výkopku z hor.1-4 do 50 m</t>
  </si>
  <si>
    <t>Vodorovné přemíst.výkopku z rýh pod.stěn do 500 m</t>
  </si>
  <si>
    <t>Konstrukce ze zemin</t>
  </si>
  <si>
    <t>Uložení sypaniny do násypů zhutněných na 95% PS</t>
  </si>
  <si>
    <t>Uložení sypaniny do násypů nezhutněných</t>
  </si>
  <si>
    <t>Zásyp stěn štěrkopískem</t>
  </si>
  <si>
    <t>Povrchové úpravy terénu</t>
  </si>
  <si>
    <t>Úprava pláně dvora</t>
  </si>
  <si>
    <t>Rozprostření ornice, svah, tl. 20-25 cm, do 500 m2</t>
  </si>
  <si>
    <t>Založení trávníku lučního ve svahu s dodáním osiva</t>
  </si>
  <si>
    <t>Úprava podloží a základové spáry</t>
  </si>
  <si>
    <t>Trativody z drenážních trubek DN 10 cm bez lože</t>
  </si>
  <si>
    <t>Základy</t>
  </si>
  <si>
    <t>Beton základových pasů prostý C 20/25 (B 25)</t>
  </si>
  <si>
    <t>Bednění základových pasů zřízení</t>
  </si>
  <si>
    <t>Bednění základových pasů odstranění</t>
  </si>
  <si>
    <t>Polštář hutněný pod základy</t>
  </si>
  <si>
    <t>Beton základových desek prostý C 30/37 XA</t>
  </si>
  <si>
    <t>Bednění stěn základových desek - zřízení</t>
  </si>
  <si>
    <t>Bednění stěn základových desek - odstranění</t>
  </si>
  <si>
    <t>Výztuž základových desek ze svařovaných sítí</t>
  </si>
  <si>
    <t>Polštář hutněný pod desky</t>
  </si>
  <si>
    <t>Beton základových patek prostý C 16/20 (B 20)</t>
  </si>
  <si>
    <t>Zdi podpěrné a volné</t>
  </si>
  <si>
    <t>Stěna z tvárnic ztraceného bednění, tl. 40 cm</t>
  </si>
  <si>
    <t>Zdivo KB-Blok 19/19/39 štípaná s probetonávkou</t>
  </si>
  <si>
    <t>Výztuž nadzákladových zdí z betonářské ocelí 11338</t>
  </si>
  <si>
    <t>Zdi nadzáklad.výplňové z bp   tř.ii</t>
  </si>
  <si>
    <t>Sloupy a pilíře, stožáry a rámové stojky</t>
  </si>
  <si>
    <t>D+M sloupku řadového</t>
  </si>
  <si>
    <t>D+M sloupku se vzpěrou</t>
  </si>
  <si>
    <t>Stropy a stropní konstrukce (pro pozemní stavby)</t>
  </si>
  <si>
    <t>Bednění ztužujících pásů a věnců - zřízení</t>
  </si>
  <si>
    <t>Bednění ztužujících pásů a věnců - odstranění</t>
  </si>
  <si>
    <t>Ztužující pásy a věnce z betonu železového C 30/37</t>
  </si>
  <si>
    <t>Výztuž ztužujících pásů a věnců svařovanou sítí</t>
  </si>
  <si>
    <t>Podkladní vrstvy komunikací a zpevněných ploch</t>
  </si>
  <si>
    <t>Podklad ze štěrkopísku po zhutnění tloušťky 15 cm</t>
  </si>
  <si>
    <t>Zásyp poloveg. tvárnic štěrkem tloušťky 12 cm</t>
  </si>
  <si>
    <t>Podklad kamen. obal. asfaltem tř.2 do 3 m, tl.6 cm</t>
  </si>
  <si>
    <t>Podklad z kam.zpev.cementem,dálnice KZC1 tl.12 cm</t>
  </si>
  <si>
    <t>Kryty štěrkových a živičných pozemních komunikací a zpevněných ploch</t>
  </si>
  <si>
    <t>Posyp krytu lomovými výsivkami tl. 5cm</t>
  </si>
  <si>
    <t>Postřik živičný spojovací z asfaltu 0,5-0,7 kg/m2</t>
  </si>
  <si>
    <t>Beton asf. ACO 11+ (ABS I), modifik. do 3 m, 4 cm</t>
  </si>
  <si>
    <t>Dlažby pozemních komunikací a ploch</t>
  </si>
  <si>
    <t>Dlažba z poloveg. tvárnic vč. podsypu tl. 4cm</t>
  </si>
  <si>
    <t>Izolace proti vodě</t>
  </si>
  <si>
    <t>Ochrana zdí - systém Platon svislá</t>
  </si>
  <si>
    <t>Konstrukce doplňkové stavební (zámečnické)</t>
  </si>
  <si>
    <t>D+M oplocení strojového pletiva H do 2,0 m</t>
  </si>
  <si>
    <t>D+M dvoukřídlých vrat š.3,6m</t>
  </si>
  <si>
    <t>Doplňující konstrukce a práce pozemních komunikací, letišť a ploch</t>
  </si>
  <si>
    <t>D+M podhrabových desek d. 3,0m</t>
  </si>
  <si>
    <t>Prorážení otvorů a ostatní bourací práce</t>
  </si>
  <si>
    <t>Vybourání otv. zeď cihel. pl. 1 m2, tl. 60 cm, MC</t>
  </si>
  <si>
    <t>Komunikace pozemní a letiště</t>
  </si>
  <si>
    <t>Přesun hmot, pozemní komunikace, kryt z kameniva</t>
  </si>
  <si>
    <t>Montáže měřicích a regulačních zařízení</t>
  </si>
  <si>
    <t>Vyvrtání otvoru do  d 20 mm mimo panel</t>
  </si>
  <si>
    <t>Přesuny sutí</t>
  </si>
  <si>
    <t>Naložení a složení suti</t>
  </si>
  <si>
    <t>Vodorovná doprava suti a hmot po suchu do 500 m</t>
  </si>
  <si>
    <t>Ostatní materiál</t>
  </si>
  <si>
    <t>Kotva chemická - ampule RM d  20 mm</t>
  </si>
  <si>
    <t>Doba výstavby:</t>
  </si>
  <si>
    <t>Začátek výstavby:</t>
  </si>
  <si>
    <t>Konec výstavby:</t>
  </si>
  <si>
    <t>Zpracováno dne:</t>
  </si>
  <si>
    <t>M.j.</t>
  </si>
  <si>
    <t>kus</t>
  </si>
  <si>
    <t>m3</t>
  </si>
  <si>
    <t>m2</t>
  </si>
  <si>
    <t>m</t>
  </si>
  <si>
    <t>t</t>
  </si>
  <si>
    <t>Množství</t>
  </si>
  <si>
    <t>Jednot.</t>
  </si>
  <si>
    <t>cena (Kč)</t>
  </si>
  <si>
    <t>Náklady (Kč)</t>
  </si>
  <si>
    <t>Dodávka</t>
  </si>
  <si>
    <t>Celkem:</t>
  </si>
  <si>
    <t>Objednatel:</t>
  </si>
  <si>
    <t>Projektant:</t>
  </si>
  <si>
    <t>Zhotovitel:</t>
  </si>
  <si>
    <t>Zpracoval:</t>
  </si>
  <si>
    <t>Montáž</t>
  </si>
  <si>
    <t>Obec Kryštofovy Hamry</t>
  </si>
  <si>
    <t>Celkem</t>
  </si>
  <si>
    <t>Hmotnost (t)</t>
  </si>
  <si>
    <t>0</t>
  </si>
  <si>
    <t>Přesuny</t>
  </si>
  <si>
    <t>Typ skupiny</t>
  </si>
  <si>
    <t>HS</t>
  </si>
  <si>
    <t>PS</t>
  </si>
  <si>
    <t>PR</t>
  </si>
  <si>
    <t>MP</t>
  </si>
  <si>
    <t>OM</t>
  </si>
  <si>
    <t>HSV mat</t>
  </si>
  <si>
    <t>HSV prac</t>
  </si>
  <si>
    <t>PSV mat</t>
  </si>
  <si>
    <t>PSV prac</t>
  </si>
  <si>
    <t>Mont mat</t>
  </si>
  <si>
    <t>Mont prac</t>
  </si>
  <si>
    <t>Ostatní mat.</t>
  </si>
  <si>
    <t>Výkaz výměr</t>
  </si>
  <si>
    <t>Rozměry</t>
  </si>
  <si>
    <t>Varianta</t>
  </si>
  <si>
    <t>PVC</t>
  </si>
  <si>
    <t>ze štěrkopísku tloušťky 15 cm</t>
  </si>
  <si>
    <t>svařovanou sítí - drát 6,0  oka 100/100</t>
  </si>
  <si>
    <t>ze štěrkopísku tloušťky 20 cm</t>
  </si>
  <si>
    <t>zalití tvárnic betonem C 20/25</t>
  </si>
  <si>
    <t>svařovaná síť - drát 6,0 mm, oka 100 / 100 mm</t>
  </si>
  <si>
    <t>včetně dodávky fólie Platon P6, lišty a doplňků</t>
  </si>
  <si>
    <t>Krycí list rozpočtu</t>
  </si>
  <si>
    <t>Rozpočtové náklady v Kč</t>
  </si>
  <si>
    <t>A</t>
  </si>
  <si>
    <t>HSV</t>
  </si>
  <si>
    <t>PSV</t>
  </si>
  <si>
    <t>"M"</t>
  </si>
  <si>
    <t>Přesun hmot a sutí</t>
  </si>
  <si>
    <t>ZRN celkem</t>
  </si>
  <si>
    <t>Základ 0%</t>
  </si>
  <si>
    <t>Projektant</t>
  </si>
  <si>
    <t>Datum, razítko a podpis</t>
  </si>
  <si>
    <t>Základní rozpočtové náklady</t>
  </si>
  <si>
    <t>Dodávky</t>
  </si>
  <si>
    <t>B</t>
  </si>
  <si>
    <t>Práce přesčas</t>
  </si>
  <si>
    <t>Bez pevné podl.</t>
  </si>
  <si>
    <t>Kulturní památka</t>
  </si>
  <si>
    <t>DN celkem</t>
  </si>
  <si>
    <t>Objednatel</t>
  </si>
  <si>
    <t>Doplňkové náklady</t>
  </si>
  <si>
    <t>C</t>
  </si>
  <si>
    <t>Zařízení staveniště</t>
  </si>
  <si>
    <t>Mimostav. doprava</t>
  </si>
  <si>
    <t>Územní vlivy</t>
  </si>
  <si>
    <t>Provozní vlivy</t>
  </si>
  <si>
    <t>Ostatní</t>
  </si>
  <si>
    <t>NUS z rozpočtu</t>
  </si>
  <si>
    <t>NUS celkem</t>
  </si>
  <si>
    <t>Celkem bez DPH</t>
  </si>
  <si>
    <t>Celkem včetně DPH</t>
  </si>
  <si>
    <t>Zhotovitel</t>
  </si>
  <si>
    <t>IČ/DIČ:</t>
  </si>
  <si>
    <t>Položek:</t>
  </si>
  <si>
    <t>Datum:</t>
  </si>
  <si>
    <t>Náklady na umístění stavby (NUS)</t>
  </si>
  <si>
    <t>00075566/Neplátce DPH</t>
  </si>
  <si>
    <t>DPH 21%</t>
  </si>
  <si>
    <t>Základ 21%</t>
  </si>
  <si>
    <t>DPH 15%</t>
  </si>
  <si>
    <t>Základ 15%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</si>
</sst>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0"/>
      <color indexed="8"/>
      <name val="Arial"/>
      <charset val="238"/>
    </font>
    <font>
      <sz val="18"/>
      <color indexed="8"/>
      <name val="Arial"/>
      <charset val="238"/>
    </font>
    <font>
      <b/>
      <sz val="10"/>
      <color indexed="8"/>
      <name val="Arial"/>
      <charset val="238"/>
    </font>
    <font>
      <sz val="24"/>
      <color indexed="8"/>
      <name val="Arial"/>
      <charset val="238"/>
    </font>
    <font>
      <b/>
      <sz val="18"/>
      <color indexed="8"/>
      <name val="Arial"/>
      <charset val="238"/>
    </font>
    <font>
      <b/>
      <sz val="20"/>
      <color indexed="8"/>
      <name val="Arial"/>
      <charset val="238"/>
    </font>
    <font>
      <b/>
      <sz val="12"/>
      <color indexed="8"/>
      <name val="Arial"/>
      <charset val="238"/>
    </font>
    <font>
      <sz val="12"/>
      <color indexed="8"/>
      <name val="Arial"/>
      <charset val="238"/>
    </font>
    <font>
      <b/>
      <sz val="11"/>
      <color indexed="8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1" fillId="0" borderId="0" xfId="0" applyFont="1" applyAlignment="1">
      <alignment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49" fontId="3" fillId="0" borderId="2" xfId="0" applyNumberFormat="1" applyFont="1" applyFill="1" applyBorder="1" applyAlignment="1" applyProtection="1">
      <alignment horizontal="left" vertical="center"/>
    </xf>
    <xf numFmtId="49" fontId="1" fillId="2" borderId="3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49" fontId="1" fillId="2" borderId="0" xfId="0" applyNumberFormat="1" applyFont="1" applyFill="1" applyBorder="1" applyAlignment="1" applyProtection="1">
      <alignment horizontal="left" vertical="center"/>
    </xf>
    <xf numFmtId="49" fontId="1" fillId="0" borderId="4" xfId="0" applyNumberFormat="1" applyFont="1" applyFill="1" applyBorder="1" applyAlignment="1" applyProtection="1">
      <alignment horizontal="left" vertical="center"/>
    </xf>
    <xf numFmtId="0" fontId="1" fillId="0" borderId="5" xfId="0" applyNumberFormat="1" applyFont="1" applyFill="1" applyBorder="1" applyAlignment="1" applyProtection="1">
      <alignment vertical="center"/>
    </xf>
    <xf numFmtId="49" fontId="1" fillId="0" borderId="6" xfId="0" applyNumberFormat="1" applyFont="1" applyFill="1" applyBorder="1" applyAlignment="1" applyProtection="1">
      <alignment horizontal="left" vertical="center"/>
    </xf>
    <xf numFmtId="49" fontId="3" fillId="0" borderId="7" xfId="0" applyNumberFormat="1" applyFont="1" applyFill="1" applyBorder="1" applyAlignment="1" applyProtection="1">
      <alignment horizontal="left" vertical="center"/>
    </xf>
    <xf numFmtId="49" fontId="3" fillId="2" borderId="3" xfId="0" applyNumberFormat="1" applyFont="1" applyFill="1" applyBorder="1" applyAlignment="1" applyProtection="1">
      <alignment horizontal="left" vertical="center"/>
    </xf>
    <xf numFmtId="49" fontId="3" fillId="2" borderId="0" xfId="0" applyNumberFormat="1" applyFont="1" applyFill="1" applyBorder="1" applyAlignment="1" applyProtection="1">
      <alignment horizontal="left" vertical="center"/>
    </xf>
    <xf numFmtId="49" fontId="3" fillId="0" borderId="7" xfId="0" applyNumberFormat="1" applyFont="1" applyFill="1" applyBorder="1" applyAlignment="1" applyProtection="1">
      <alignment horizontal="center" vertical="center"/>
    </xf>
    <xf numFmtId="4" fontId="1" fillId="0" borderId="0" xfId="0" applyNumberFormat="1" applyFont="1" applyFill="1" applyBorder="1" applyAlignment="1" applyProtection="1">
      <alignment horizontal="right" vertical="center"/>
    </xf>
    <xf numFmtId="4" fontId="1" fillId="0" borderId="4" xfId="0" applyNumberFormat="1" applyFont="1" applyFill="1" applyBorder="1" applyAlignment="1" applyProtection="1">
      <alignment horizontal="right" vertical="center"/>
    </xf>
    <xf numFmtId="49" fontId="3" fillId="0" borderId="8" xfId="0" applyNumberFormat="1" applyFont="1" applyFill="1" applyBorder="1" applyAlignment="1" applyProtection="1">
      <alignment horizontal="center" vertical="center"/>
    </xf>
    <xf numFmtId="49" fontId="3" fillId="0" borderId="9" xfId="0" applyNumberFormat="1" applyFont="1" applyFill="1" applyBorder="1" applyAlignment="1" applyProtection="1">
      <alignment horizontal="right" vertical="center"/>
    </xf>
    <xf numFmtId="49" fontId="3" fillId="0" borderId="10" xfId="0" applyNumberFormat="1" applyFont="1" applyFill="1" applyBorder="1" applyAlignment="1" applyProtection="1">
      <alignment horizontal="center" vertical="center"/>
    </xf>
    <xf numFmtId="49" fontId="3" fillId="0" borderId="11" xfId="0" applyNumberFormat="1" applyFont="1" applyFill="1" applyBorder="1" applyAlignment="1" applyProtection="1">
      <alignment horizontal="center" vertical="center"/>
    </xf>
    <xf numFmtId="49" fontId="3" fillId="0" borderId="12" xfId="0" applyNumberFormat="1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 applyProtection="1">
      <alignment horizontal="right" vertical="center"/>
    </xf>
    <xf numFmtId="49" fontId="3" fillId="2" borderId="0" xfId="0" applyNumberFormat="1" applyFont="1" applyFill="1" applyBorder="1" applyAlignment="1" applyProtection="1">
      <alignment horizontal="right" vertical="center"/>
    </xf>
    <xf numFmtId="0" fontId="1" fillId="0" borderId="13" xfId="0" applyNumberFormat="1" applyFont="1" applyFill="1" applyBorder="1" applyAlignment="1" applyProtection="1">
      <alignment vertical="center"/>
    </xf>
    <xf numFmtId="0" fontId="1" fillId="0" borderId="14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horizontal="right" vertical="center"/>
    </xf>
    <xf numFmtId="4" fontId="3" fillId="2" borderId="3" xfId="0" applyNumberFormat="1" applyFont="1" applyFill="1" applyBorder="1" applyAlignment="1" applyProtection="1">
      <alignment horizontal="right" vertical="center"/>
    </xf>
    <xf numFmtId="4" fontId="3" fillId="2" borderId="0" xfId="0" applyNumberFormat="1" applyFont="1" applyFill="1" applyBorder="1" applyAlignment="1" applyProtection="1">
      <alignment horizontal="right" vertical="center"/>
    </xf>
    <xf numFmtId="4" fontId="3" fillId="0" borderId="5" xfId="0" applyNumberFormat="1" applyFont="1" applyFill="1" applyBorder="1" applyAlignment="1" applyProtection="1">
      <alignment horizontal="right" vertical="center"/>
    </xf>
    <xf numFmtId="4" fontId="3" fillId="0" borderId="0" xfId="0" applyNumberFormat="1" applyFont="1" applyFill="1" applyBorder="1" applyAlignment="1" applyProtection="1">
      <alignment horizontal="right" vertical="center"/>
    </xf>
    <xf numFmtId="49" fontId="3" fillId="0" borderId="15" xfId="0" applyNumberFormat="1" applyFont="1" applyFill="1" applyBorder="1" applyAlignment="1" applyProtection="1">
      <alignment horizontal="left" vertical="center"/>
    </xf>
    <xf numFmtId="49" fontId="1" fillId="0" borderId="3" xfId="0" applyNumberFormat="1" applyFont="1" applyFill="1" applyBorder="1" applyAlignment="1" applyProtection="1">
      <alignment horizontal="left" vertical="center"/>
    </xf>
    <xf numFmtId="49" fontId="3" fillId="0" borderId="16" xfId="0" applyNumberFormat="1" applyFont="1" applyFill="1" applyBorder="1" applyAlignment="1" applyProtection="1">
      <alignment horizontal="left" vertical="center"/>
    </xf>
    <xf numFmtId="49" fontId="3" fillId="0" borderId="16" xfId="0" applyNumberFormat="1" applyFont="1" applyFill="1" applyBorder="1" applyAlignment="1" applyProtection="1">
      <alignment horizontal="right" vertical="center"/>
    </xf>
    <xf numFmtId="4" fontId="1" fillId="0" borderId="3" xfId="0" applyNumberFormat="1" applyFont="1" applyFill="1" applyBorder="1" applyAlignment="1" applyProtection="1">
      <alignment horizontal="right" vertical="center"/>
    </xf>
    <xf numFmtId="0" fontId="1" fillId="0" borderId="17" xfId="0" applyNumberFormat="1" applyFont="1" applyFill="1" applyBorder="1" applyAlignment="1" applyProtection="1">
      <alignment vertical="center"/>
    </xf>
    <xf numFmtId="0" fontId="3" fillId="0" borderId="18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49" fontId="6" fillId="2" borderId="19" xfId="0" applyNumberFormat="1" applyFont="1" applyFill="1" applyBorder="1" applyAlignment="1" applyProtection="1">
      <alignment horizontal="center" vertical="center"/>
    </xf>
    <xf numFmtId="49" fontId="7" fillId="0" borderId="20" xfId="0" applyNumberFormat="1" applyFont="1" applyFill="1" applyBorder="1" applyAlignment="1" applyProtection="1">
      <alignment horizontal="left" vertical="center"/>
    </xf>
    <xf numFmtId="49" fontId="7" fillId="0" borderId="21" xfId="0" applyNumberFormat="1" applyFont="1" applyFill="1" applyBorder="1" applyAlignment="1" applyProtection="1">
      <alignment horizontal="left" vertical="center"/>
    </xf>
    <xf numFmtId="0" fontId="1" fillId="0" borderId="22" xfId="0" applyNumberFormat="1" applyFont="1" applyFill="1" applyBorder="1" applyAlignment="1" applyProtection="1">
      <alignment vertical="center"/>
    </xf>
    <xf numFmtId="0" fontId="1" fillId="0" borderId="23" xfId="0" applyNumberFormat="1" applyFont="1" applyFill="1" applyBorder="1" applyAlignment="1" applyProtection="1">
      <alignment vertical="center"/>
    </xf>
    <xf numFmtId="49" fontId="8" fillId="0" borderId="19" xfId="0" applyNumberFormat="1" applyFont="1" applyFill="1" applyBorder="1" applyAlignment="1" applyProtection="1">
      <alignment horizontal="left" vertical="center"/>
    </xf>
    <xf numFmtId="0" fontId="1" fillId="0" borderId="24" xfId="0" applyNumberFormat="1" applyFont="1" applyFill="1" applyBorder="1" applyAlignment="1" applyProtection="1">
      <alignment vertical="center"/>
    </xf>
    <xf numFmtId="0" fontId="1" fillId="0" borderId="4" xfId="0" applyNumberFormat="1" applyFont="1" applyFill="1" applyBorder="1" applyAlignment="1" applyProtection="1">
      <alignment vertical="center"/>
    </xf>
    <xf numFmtId="4" fontId="8" fillId="0" borderId="19" xfId="0" applyNumberFormat="1" applyFont="1" applyFill="1" applyBorder="1" applyAlignment="1" applyProtection="1">
      <alignment horizontal="right" vertical="center"/>
    </xf>
    <xf numFmtId="49" fontId="8" fillId="0" borderId="19" xfId="0" applyNumberFormat="1" applyFont="1" applyFill="1" applyBorder="1" applyAlignment="1" applyProtection="1">
      <alignment horizontal="right" vertical="center"/>
    </xf>
    <xf numFmtId="4" fontId="7" fillId="2" borderId="25" xfId="0" applyNumberFormat="1" applyFont="1" applyFill="1" applyBorder="1" applyAlignment="1" applyProtection="1">
      <alignment horizontal="right" vertical="center"/>
    </xf>
    <xf numFmtId="49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0" fontId="3" fillId="0" borderId="5" xfId="0" applyNumberFormat="1" applyFont="1" applyFill="1" applyBorder="1" applyAlignment="1" applyProtection="1">
      <alignment horizontal="left" vertical="center"/>
    </xf>
    <xf numFmtId="49" fontId="3" fillId="0" borderId="31" xfId="0" applyNumberFormat="1" applyFont="1" applyFill="1" applyBorder="1" applyAlignment="1" applyProtection="1">
      <alignment horizontal="center" vertical="center"/>
    </xf>
    <xf numFmtId="0" fontId="3" fillId="0" borderId="32" xfId="0" applyNumberFormat="1" applyFont="1" applyFill="1" applyBorder="1" applyAlignment="1" applyProtection="1">
      <alignment horizontal="center" vertical="center"/>
    </xf>
    <xf numFmtId="0" fontId="3" fillId="0" borderId="33" xfId="0" applyNumberFormat="1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 applyProtection="1">
      <alignment horizontal="left" vertical="center"/>
    </xf>
    <xf numFmtId="0" fontId="3" fillId="2" borderId="3" xfId="0" applyNumberFormat="1" applyFont="1" applyFill="1" applyBorder="1" applyAlignment="1" applyProtection="1">
      <alignment horizontal="left" vertical="center"/>
    </xf>
    <xf numFmtId="49" fontId="1" fillId="0" borderId="5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0" fontId="1" fillId="0" borderId="27" xfId="0" applyNumberFormat="1" applyFont="1" applyFill="1" applyBorder="1" applyAlignment="1" applyProtection="1">
      <alignment horizontal="left" vertical="center"/>
    </xf>
    <xf numFmtId="0" fontId="1" fillId="0" borderId="5" xfId="0" applyNumberFormat="1" applyFont="1" applyFill="1" applyBorder="1" applyAlignment="1" applyProtection="1">
      <alignment horizontal="left" vertical="center"/>
    </xf>
    <xf numFmtId="0" fontId="1" fillId="0" borderId="28" xfId="0" applyNumberFormat="1" applyFont="1" applyFill="1" applyBorder="1" applyAlignment="1" applyProtection="1">
      <alignment horizontal="left" vertical="center"/>
    </xf>
    <xf numFmtId="0" fontId="1" fillId="0" borderId="29" xfId="0" applyNumberFormat="1" applyFont="1" applyFill="1" applyBorder="1" applyAlignment="1" applyProtection="1">
      <alignment horizontal="left" vertical="center"/>
    </xf>
    <xf numFmtId="0" fontId="1" fillId="0" borderId="30" xfId="0" applyNumberFormat="1" applyFont="1" applyFill="1" applyBorder="1" applyAlignment="1" applyProtection="1">
      <alignment horizontal="left" vertical="center"/>
    </xf>
    <xf numFmtId="14" fontId="1" fillId="0" borderId="0" xfId="0" applyNumberFormat="1" applyFont="1" applyFill="1" applyBorder="1" applyAlignment="1" applyProtection="1">
      <alignment horizontal="left" vertical="center"/>
    </xf>
    <xf numFmtId="49" fontId="2" fillId="0" borderId="4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49" fontId="1" fillId="0" borderId="26" xfId="0" applyNumberFormat="1" applyFont="1" applyFill="1" applyBorder="1" applyAlignment="1" applyProtection="1">
      <alignment horizontal="left" vertical="center"/>
    </xf>
    <xf numFmtId="0" fontId="1" fillId="0" borderId="13" xfId="0" applyNumberFormat="1" applyFont="1" applyFill="1" applyBorder="1" applyAlignment="1" applyProtection="1">
      <alignment horizontal="left" vertical="center"/>
    </xf>
    <xf numFmtId="49" fontId="1" fillId="0" borderId="13" xfId="0" applyNumberFormat="1" applyFont="1" applyFill="1" applyBorder="1" applyAlignment="1" applyProtection="1">
      <alignment horizontal="left" vertical="center"/>
    </xf>
    <xf numFmtId="0" fontId="1" fillId="0" borderId="17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14" fontId="1" fillId="0" borderId="29" xfId="0" applyNumberFormat="1" applyFont="1" applyFill="1" applyBorder="1" applyAlignment="1" applyProtection="1">
      <alignment horizontal="left" vertical="center"/>
    </xf>
    <xf numFmtId="0" fontId="1" fillId="0" borderId="34" xfId="0" applyNumberFormat="1" applyFont="1" applyFill="1" applyBorder="1" applyAlignment="1" applyProtection="1">
      <alignment horizontal="left" vertical="center"/>
    </xf>
    <xf numFmtId="49" fontId="8" fillId="0" borderId="14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8" fillId="0" borderId="38" xfId="0" applyNumberFormat="1" applyFont="1" applyFill="1" applyBorder="1" applyAlignment="1" applyProtection="1">
      <alignment horizontal="left" vertical="center"/>
    </xf>
    <xf numFmtId="49" fontId="8" fillId="0" borderId="39" xfId="0" applyNumberFormat="1" applyFont="1" applyFill="1" applyBorder="1" applyAlignment="1" applyProtection="1">
      <alignment horizontal="left" vertical="center"/>
    </xf>
    <xf numFmtId="0" fontId="8" fillId="0" borderId="27" xfId="0" applyNumberFormat="1" applyFont="1" applyFill="1" applyBorder="1" applyAlignment="1" applyProtection="1">
      <alignment horizontal="left" vertical="center"/>
    </xf>
    <xf numFmtId="0" fontId="8" fillId="0" borderId="40" xfId="0" applyNumberFormat="1" applyFont="1" applyFill="1" applyBorder="1" applyAlignment="1" applyProtection="1">
      <alignment horizontal="left" vertical="center"/>
    </xf>
    <xf numFmtId="49" fontId="7" fillId="2" borderId="35" xfId="0" applyNumberFormat="1" applyFont="1" applyFill="1" applyBorder="1" applyAlignment="1" applyProtection="1">
      <alignment horizontal="left" vertical="center"/>
    </xf>
    <xf numFmtId="0" fontId="7" fillId="2" borderId="22" xfId="0" applyNumberFormat="1" applyFont="1" applyFill="1" applyBorder="1" applyAlignment="1" applyProtection="1">
      <alignment horizontal="left" vertical="center"/>
    </xf>
    <xf numFmtId="49" fontId="8" fillId="0" borderId="36" xfId="0" applyNumberFormat="1" applyFont="1" applyFill="1" applyBorder="1" applyAlignment="1" applyProtection="1">
      <alignment horizontal="left" vertical="center"/>
    </xf>
    <xf numFmtId="0" fontId="8" fillId="0" borderId="3" xfId="0" applyNumberFormat="1" applyFont="1" applyFill="1" applyBorder="1" applyAlignment="1" applyProtection="1">
      <alignment horizontal="left" vertical="center"/>
    </xf>
    <xf numFmtId="0" fontId="8" fillId="0" borderId="37" xfId="0" applyNumberFormat="1" applyFont="1" applyFill="1" applyBorder="1" applyAlignment="1" applyProtection="1">
      <alignment horizontal="left" vertical="center"/>
    </xf>
    <xf numFmtId="49" fontId="8" fillId="0" borderId="35" xfId="0" applyNumberFormat="1" applyFont="1" applyFill="1" applyBorder="1" applyAlignment="1" applyProtection="1">
      <alignment horizontal="left" vertical="center"/>
    </xf>
    <xf numFmtId="0" fontId="8" fillId="0" borderId="25" xfId="0" applyNumberFormat="1" applyFont="1" applyFill="1" applyBorder="1" applyAlignment="1" applyProtection="1">
      <alignment horizontal="left" vertical="center"/>
    </xf>
    <xf numFmtId="49" fontId="7" fillId="0" borderId="35" xfId="0" applyNumberFormat="1" applyFont="1" applyFill="1" applyBorder="1" applyAlignment="1" applyProtection="1">
      <alignment horizontal="left" vertical="center"/>
    </xf>
    <xf numFmtId="0" fontId="7" fillId="0" borderId="25" xfId="0" applyNumberFormat="1" applyFont="1" applyFill="1" applyBorder="1" applyAlignment="1" applyProtection="1">
      <alignment horizontal="left" vertical="center"/>
    </xf>
    <xf numFmtId="49" fontId="9" fillId="0" borderId="35" xfId="0" applyNumberFormat="1" applyFont="1" applyFill="1" applyBorder="1" applyAlignment="1" applyProtection="1">
      <alignment horizontal="left" vertical="center"/>
    </xf>
    <xf numFmtId="0" fontId="9" fillId="0" borderId="25" xfId="0" applyNumberFormat="1" applyFont="1" applyFill="1" applyBorder="1" applyAlignment="1" applyProtection="1">
      <alignment horizontal="left" vertical="center"/>
    </xf>
    <xf numFmtId="49" fontId="1" fillId="0" borderId="28" xfId="0" applyNumberFormat="1" applyFont="1" applyFill="1" applyBorder="1" applyAlignment="1" applyProtection="1">
      <alignment horizontal="left" vertical="center"/>
    </xf>
    <xf numFmtId="49" fontId="1" fillId="0" borderId="29" xfId="0" applyNumberFormat="1" applyFont="1" applyFill="1" applyBorder="1" applyAlignment="1" applyProtection="1">
      <alignment horizontal="left" vertical="center"/>
    </xf>
    <xf numFmtId="49" fontId="5" fillId="0" borderId="22" xfId="0" applyNumberFormat="1" applyFont="1" applyFill="1" applyBorder="1" applyAlignment="1" applyProtection="1">
      <alignment horizontal="center" vertical="center"/>
    </xf>
    <xf numFmtId="0" fontId="5" fillId="0" borderId="22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left" vertical="center"/>
    </xf>
    <xf numFmtId="49" fontId="4" fillId="0" borderId="4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1" fillId="0" borderId="24" xfId="0" applyNumberFormat="1" applyFont="1" applyFill="1" applyBorder="1" applyAlignment="1" applyProtection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6"/>
  <sheetViews>
    <sheetView tabSelected="1" topLeftCell="A59" zoomScaleNormal="100" workbookViewId="0">
      <selection activeCell="G87" sqref="G87"/>
    </sheetView>
  </sheetViews>
  <sheetFormatPr defaultColWidth="11.44140625" defaultRowHeight="13.2" x14ac:dyDescent="0.25"/>
  <cols>
    <col min="1" max="2" width="3.6640625" customWidth="1"/>
    <col min="3" max="3" width="13.33203125" customWidth="1"/>
    <col min="4" max="4" width="45.6640625" customWidth="1"/>
    <col min="5" max="5" width="4.33203125" customWidth="1"/>
    <col min="6" max="6" width="10.88671875" customWidth="1"/>
    <col min="7" max="7" width="12" customWidth="1"/>
    <col min="8" max="10" width="14.33203125" customWidth="1"/>
    <col min="11" max="12" width="11.6640625" customWidth="1"/>
    <col min="14" max="37" width="12.109375" hidden="1" customWidth="1"/>
  </cols>
  <sheetData>
    <row r="1" spans="1:37" ht="21.9" customHeight="1" x14ac:dyDescent="0.25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37" x14ac:dyDescent="0.25">
      <c r="A2" s="69" t="s">
        <v>1</v>
      </c>
      <c r="B2" s="62"/>
      <c r="C2" s="62"/>
      <c r="D2" s="51" t="s">
        <v>125</v>
      </c>
      <c r="E2" s="58" t="s">
        <v>202</v>
      </c>
      <c r="F2" s="62"/>
      <c r="G2" s="58"/>
      <c r="H2" s="62"/>
      <c r="I2" s="58" t="s">
        <v>218</v>
      </c>
      <c r="J2" s="58" t="s">
        <v>223</v>
      </c>
      <c r="K2" s="62"/>
      <c r="L2" s="63"/>
      <c r="M2" s="22"/>
    </row>
    <row r="3" spans="1:37" x14ac:dyDescent="0.25">
      <c r="A3" s="70"/>
      <c r="B3" s="59"/>
      <c r="C3" s="59"/>
      <c r="D3" s="73"/>
      <c r="E3" s="59"/>
      <c r="F3" s="59"/>
      <c r="G3" s="59"/>
      <c r="H3" s="59"/>
      <c r="I3" s="59"/>
      <c r="J3" s="59"/>
      <c r="K3" s="59"/>
      <c r="L3" s="64"/>
      <c r="M3" s="22"/>
    </row>
    <row r="4" spans="1:37" x14ac:dyDescent="0.25">
      <c r="A4" s="71" t="s">
        <v>2</v>
      </c>
      <c r="B4" s="59"/>
      <c r="C4" s="59"/>
      <c r="D4" s="60"/>
      <c r="E4" s="60" t="s">
        <v>203</v>
      </c>
      <c r="F4" s="59"/>
      <c r="G4" s="66"/>
      <c r="H4" s="59"/>
      <c r="I4" s="60" t="s">
        <v>219</v>
      </c>
      <c r="J4" s="60"/>
      <c r="K4" s="59"/>
      <c r="L4" s="64"/>
      <c r="M4" s="22"/>
    </row>
    <row r="5" spans="1:37" x14ac:dyDescent="0.25">
      <c r="A5" s="70"/>
      <c r="B5" s="59"/>
      <c r="C5" s="59"/>
      <c r="D5" s="59"/>
      <c r="E5" s="59"/>
      <c r="F5" s="59"/>
      <c r="G5" s="59"/>
      <c r="H5" s="59"/>
      <c r="I5" s="59"/>
      <c r="J5" s="59"/>
      <c r="K5" s="59"/>
      <c r="L5" s="64"/>
      <c r="M5" s="22"/>
    </row>
    <row r="6" spans="1:37" x14ac:dyDescent="0.25">
      <c r="A6" s="71" t="s">
        <v>3</v>
      </c>
      <c r="B6" s="59"/>
      <c r="C6" s="59"/>
      <c r="D6" s="60" t="s">
        <v>126</v>
      </c>
      <c r="E6" s="60" t="s">
        <v>204</v>
      </c>
      <c r="F6" s="59"/>
      <c r="G6" s="66"/>
      <c r="H6" s="59"/>
      <c r="I6" s="60" t="s">
        <v>220</v>
      </c>
      <c r="J6" s="60"/>
      <c r="K6" s="59"/>
      <c r="L6" s="64"/>
      <c r="M6" s="22"/>
    </row>
    <row r="7" spans="1:37" x14ac:dyDescent="0.25">
      <c r="A7" s="70"/>
      <c r="B7" s="59"/>
      <c r="C7" s="59"/>
      <c r="D7" s="59"/>
      <c r="E7" s="59"/>
      <c r="F7" s="59"/>
      <c r="G7" s="59"/>
      <c r="H7" s="59"/>
      <c r="I7" s="59"/>
      <c r="J7" s="59"/>
      <c r="K7" s="59"/>
      <c r="L7" s="64"/>
      <c r="M7" s="22"/>
    </row>
    <row r="8" spans="1:37" x14ac:dyDescent="0.25">
      <c r="A8" s="71" t="s">
        <v>4</v>
      </c>
      <c r="B8" s="59"/>
      <c r="C8" s="59"/>
      <c r="D8" s="60"/>
      <c r="E8" s="60" t="s">
        <v>205</v>
      </c>
      <c r="F8" s="59"/>
      <c r="G8" s="66"/>
      <c r="H8" s="59"/>
      <c r="I8" s="60" t="s">
        <v>221</v>
      </c>
      <c r="J8" s="60"/>
      <c r="K8" s="59"/>
      <c r="L8" s="64"/>
      <c r="M8" s="22"/>
    </row>
    <row r="9" spans="1:37" x14ac:dyDescent="0.25">
      <c r="A9" s="72"/>
      <c r="B9" s="61"/>
      <c r="C9" s="61"/>
      <c r="D9" s="61"/>
      <c r="E9" s="61"/>
      <c r="F9" s="61"/>
      <c r="G9" s="61"/>
      <c r="H9" s="61"/>
      <c r="I9" s="61"/>
      <c r="J9" s="61"/>
      <c r="K9" s="61"/>
      <c r="L9" s="65"/>
      <c r="M9" s="22"/>
    </row>
    <row r="10" spans="1:37" x14ac:dyDescent="0.25">
      <c r="A10" s="1" t="s">
        <v>5</v>
      </c>
      <c r="B10" s="8" t="s">
        <v>5</v>
      </c>
      <c r="C10" s="8" t="s">
        <v>5</v>
      </c>
      <c r="D10" s="8" t="s">
        <v>5</v>
      </c>
      <c r="E10" s="8" t="s">
        <v>5</v>
      </c>
      <c r="F10" s="8" t="s">
        <v>5</v>
      </c>
      <c r="G10" s="15" t="s">
        <v>213</v>
      </c>
      <c r="H10" s="53" t="s">
        <v>215</v>
      </c>
      <c r="I10" s="54"/>
      <c r="J10" s="55"/>
      <c r="K10" s="53" t="s">
        <v>225</v>
      </c>
      <c r="L10" s="55"/>
      <c r="M10" s="23"/>
    </row>
    <row r="11" spans="1:37" x14ac:dyDescent="0.25">
      <c r="A11" s="2" t="s">
        <v>6</v>
      </c>
      <c r="B11" s="9" t="s">
        <v>60</v>
      </c>
      <c r="C11" s="9" t="s">
        <v>61</v>
      </c>
      <c r="D11" s="9" t="s">
        <v>127</v>
      </c>
      <c r="E11" s="9" t="s">
        <v>206</v>
      </c>
      <c r="F11" s="12" t="s">
        <v>212</v>
      </c>
      <c r="G11" s="16" t="s">
        <v>214</v>
      </c>
      <c r="H11" s="17" t="s">
        <v>216</v>
      </c>
      <c r="I11" s="18" t="s">
        <v>222</v>
      </c>
      <c r="J11" s="19" t="s">
        <v>224</v>
      </c>
      <c r="K11" s="17" t="s">
        <v>213</v>
      </c>
      <c r="L11" s="19" t="s">
        <v>224</v>
      </c>
      <c r="M11" s="23"/>
      <c r="P11" s="21" t="s">
        <v>227</v>
      </c>
      <c r="Q11" s="21" t="s">
        <v>228</v>
      </c>
      <c r="R11" s="21" t="s">
        <v>234</v>
      </c>
      <c r="S11" s="21" t="s">
        <v>235</v>
      </c>
      <c r="T11" s="21" t="s">
        <v>236</v>
      </c>
      <c r="U11" s="21" t="s">
        <v>237</v>
      </c>
      <c r="V11" s="21" t="s">
        <v>238</v>
      </c>
      <c r="W11" s="21" t="s">
        <v>239</v>
      </c>
      <c r="X11" s="21" t="s">
        <v>240</v>
      </c>
    </row>
    <row r="12" spans="1:37" x14ac:dyDescent="0.25">
      <c r="A12" s="3"/>
      <c r="B12" s="3"/>
      <c r="C12" s="10" t="s">
        <v>17</v>
      </c>
      <c r="D12" s="56" t="s">
        <v>128</v>
      </c>
      <c r="E12" s="57"/>
      <c r="F12" s="57"/>
      <c r="G12" s="57"/>
      <c r="H12" s="25">
        <f>SUM(H13:H13)</f>
        <v>0</v>
      </c>
      <c r="I12" s="25">
        <f>SUM(I13:I13)</f>
        <v>0</v>
      </c>
      <c r="J12" s="25">
        <f>H12+I12</f>
        <v>0</v>
      </c>
      <c r="K12" s="20"/>
      <c r="L12" s="25">
        <f>SUM(L13:L13)</f>
        <v>0</v>
      </c>
      <c r="P12" s="26">
        <f>IF(Q12="PR",J12,SUM(O13:O13))</f>
        <v>0</v>
      </c>
      <c r="Q12" s="21" t="s">
        <v>229</v>
      </c>
      <c r="R12" s="26">
        <f>IF(Q12="HS",H12,0)</f>
        <v>0</v>
      </c>
      <c r="S12" s="26">
        <f>IF(Q12="HS",I12-P12,0)</f>
        <v>0</v>
      </c>
      <c r="T12" s="26">
        <f>IF(Q12="PS",H12,0)</f>
        <v>0</v>
      </c>
      <c r="U12" s="26">
        <f>IF(Q12="PS",I12-P12,0)</f>
        <v>0</v>
      </c>
      <c r="V12" s="26">
        <f>IF(Q12="MP",H12,0)</f>
        <v>0</v>
      </c>
      <c r="W12" s="26">
        <f>IF(Q12="MP",I12-P12,0)</f>
        <v>0</v>
      </c>
      <c r="X12" s="26">
        <f>IF(Q12="OM",H12,0)</f>
        <v>0</v>
      </c>
      <c r="Y12" s="21"/>
      <c r="AI12" s="26">
        <f>SUM(Z13:Z13)</f>
        <v>0</v>
      </c>
      <c r="AJ12" s="26">
        <f>SUM(AA13:AA13)</f>
        <v>0</v>
      </c>
      <c r="AK12" s="26">
        <f>SUM(AB13:AB13)</f>
        <v>0</v>
      </c>
    </row>
    <row r="13" spans="1:37" x14ac:dyDescent="0.25">
      <c r="A13" s="4" t="s">
        <v>7</v>
      </c>
      <c r="B13" s="4"/>
      <c r="C13" s="4" t="s">
        <v>62</v>
      </c>
      <c r="D13" s="4" t="s">
        <v>129</v>
      </c>
      <c r="E13" s="4" t="s">
        <v>207</v>
      </c>
      <c r="F13" s="13">
        <v>8</v>
      </c>
      <c r="G13" s="13">
        <v>0</v>
      </c>
      <c r="H13" s="13">
        <f>ROUND(F13*AE13,2)</f>
        <v>0</v>
      </c>
      <c r="I13" s="13">
        <f>J13-H13</f>
        <v>0</v>
      </c>
      <c r="J13" s="13">
        <f>ROUND(F13*G13,2)</f>
        <v>0</v>
      </c>
      <c r="K13" s="13">
        <v>0</v>
      </c>
      <c r="L13" s="13">
        <f>F13*K13</f>
        <v>0</v>
      </c>
      <c r="N13" s="24" t="s">
        <v>7</v>
      </c>
      <c r="O13" s="13">
        <f>IF(N13="5",I13,0)</f>
        <v>0</v>
      </c>
      <c r="Z13" s="13">
        <f>IF(AD13=0,J13,0)</f>
        <v>0</v>
      </c>
      <c r="AA13" s="13">
        <f>IF(AD13=14,J13,0)</f>
        <v>0</v>
      </c>
      <c r="AB13" s="13">
        <f>IF(AD13=20,J13,0)</f>
        <v>0</v>
      </c>
      <c r="AD13" s="13">
        <v>20</v>
      </c>
      <c r="AE13" s="13">
        <f>G13*0</f>
        <v>0</v>
      </c>
      <c r="AF13" s="13">
        <f>G13*(1-0)</f>
        <v>0</v>
      </c>
    </row>
    <row r="14" spans="1:37" x14ac:dyDescent="0.25">
      <c r="A14" s="5"/>
      <c r="B14" s="5"/>
      <c r="C14" s="11" t="s">
        <v>19</v>
      </c>
      <c r="D14" s="49" t="s">
        <v>130</v>
      </c>
      <c r="E14" s="50"/>
      <c r="F14" s="50"/>
      <c r="G14" s="50"/>
      <c r="H14" s="26">
        <f>SUM(H15:H19)</f>
        <v>0</v>
      </c>
      <c r="I14" s="26">
        <f>SUM(I15:I19)</f>
        <v>0</v>
      </c>
      <c r="J14" s="26">
        <f>H14+I14</f>
        <v>0</v>
      </c>
      <c r="K14" s="21"/>
      <c r="L14" s="26">
        <f>SUM(L15:L19)</f>
        <v>0</v>
      </c>
      <c r="P14" s="26">
        <f>IF(Q14="PR",J14,SUM(O15:O19))</f>
        <v>0</v>
      </c>
      <c r="Q14" s="21" t="s">
        <v>229</v>
      </c>
      <c r="R14" s="26">
        <f>IF(Q14="HS",H14,0)</f>
        <v>0</v>
      </c>
      <c r="S14" s="26">
        <f>IF(Q14="HS",I14-P14,0)</f>
        <v>0</v>
      </c>
      <c r="T14" s="26">
        <f>IF(Q14="PS",H14,0)</f>
        <v>0</v>
      </c>
      <c r="U14" s="26">
        <f>IF(Q14="PS",I14-P14,0)</f>
        <v>0</v>
      </c>
      <c r="V14" s="26">
        <f>IF(Q14="MP",H14,0)</f>
        <v>0</v>
      </c>
      <c r="W14" s="26">
        <f>IF(Q14="MP",I14-P14,0)</f>
        <v>0</v>
      </c>
      <c r="X14" s="26">
        <f>IF(Q14="OM",H14,0)</f>
        <v>0</v>
      </c>
      <c r="Y14" s="21"/>
      <c r="AI14" s="26">
        <f>SUM(Z15:Z19)</f>
        <v>0</v>
      </c>
      <c r="AJ14" s="26">
        <f>SUM(AA15:AA19)</f>
        <v>0</v>
      </c>
      <c r="AK14" s="26">
        <f>SUM(AB15:AB19)</f>
        <v>0</v>
      </c>
    </row>
    <row r="15" spans="1:37" x14ac:dyDescent="0.25">
      <c r="A15" s="4" t="s">
        <v>8</v>
      </c>
      <c r="B15" s="4"/>
      <c r="C15" s="4" t="s">
        <v>63</v>
      </c>
      <c r="D15" s="4" t="s">
        <v>131</v>
      </c>
      <c r="E15" s="4" t="s">
        <v>208</v>
      </c>
      <c r="F15" s="13">
        <v>70.88</v>
      </c>
      <c r="G15" s="13">
        <v>0</v>
      </c>
      <c r="H15" s="13">
        <f>ROUND(F15*AE15,2)</f>
        <v>0</v>
      </c>
      <c r="I15" s="13">
        <f>J15-H15</f>
        <v>0</v>
      </c>
      <c r="J15" s="13">
        <f>ROUND(F15*G15,2)</f>
        <v>0</v>
      </c>
      <c r="K15" s="13">
        <v>0</v>
      </c>
      <c r="L15" s="13">
        <f>F15*K15</f>
        <v>0</v>
      </c>
      <c r="N15" s="24" t="s">
        <v>7</v>
      </c>
      <c r="O15" s="13">
        <f>IF(N15="5",I15,0)</f>
        <v>0</v>
      </c>
      <c r="Z15" s="13">
        <f>IF(AD15=0,J15,0)</f>
        <v>0</v>
      </c>
      <c r="AA15" s="13">
        <f>IF(AD15=14,J15,0)</f>
        <v>0</v>
      </c>
      <c r="AB15" s="13">
        <f>IF(AD15=20,J15,0)</f>
        <v>0</v>
      </c>
      <c r="AD15" s="13">
        <v>20</v>
      </c>
      <c r="AE15" s="13">
        <f>G15*0</f>
        <v>0</v>
      </c>
      <c r="AF15" s="13">
        <f>G15*(1-0)</f>
        <v>0</v>
      </c>
    </row>
    <row r="16" spans="1:37" x14ac:dyDescent="0.25">
      <c r="A16" s="4" t="s">
        <v>9</v>
      </c>
      <c r="B16" s="4"/>
      <c r="C16" s="4" t="s">
        <v>64</v>
      </c>
      <c r="D16" s="4" t="s">
        <v>132</v>
      </c>
      <c r="E16" s="4" t="s">
        <v>208</v>
      </c>
      <c r="F16" s="13">
        <v>25.62</v>
      </c>
      <c r="G16" s="13">
        <v>0</v>
      </c>
      <c r="H16" s="13">
        <f>ROUND(F16*AE16,2)</f>
        <v>0</v>
      </c>
      <c r="I16" s="13">
        <f>J16-H16</f>
        <v>0</v>
      </c>
      <c r="J16" s="13">
        <f>ROUND(F16*G16,2)</f>
        <v>0</v>
      </c>
      <c r="K16" s="13">
        <v>0</v>
      </c>
      <c r="L16" s="13">
        <f>F16*K16</f>
        <v>0</v>
      </c>
      <c r="N16" s="24" t="s">
        <v>7</v>
      </c>
      <c r="O16" s="13">
        <f>IF(N16="5",I16,0)</f>
        <v>0</v>
      </c>
      <c r="Z16" s="13">
        <f>IF(AD16=0,J16,0)</f>
        <v>0</v>
      </c>
      <c r="AA16" s="13">
        <f>IF(AD16=14,J16,0)</f>
        <v>0</v>
      </c>
      <c r="AB16" s="13">
        <f>IF(AD16=20,J16,0)</f>
        <v>0</v>
      </c>
      <c r="AD16" s="13">
        <v>20</v>
      </c>
      <c r="AE16" s="13">
        <f>G16*0</f>
        <v>0</v>
      </c>
      <c r="AF16" s="13">
        <f>G16*(1-0)</f>
        <v>0</v>
      </c>
    </row>
    <row r="17" spans="1:37" x14ac:dyDescent="0.25">
      <c r="A17" s="4" t="s">
        <v>10</v>
      </c>
      <c r="B17" s="4"/>
      <c r="C17" s="4" t="s">
        <v>65</v>
      </c>
      <c r="D17" s="4" t="s">
        <v>133</v>
      </c>
      <c r="E17" s="4" t="s">
        <v>208</v>
      </c>
      <c r="F17" s="13">
        <v>70.88</v>
      </c>
      <c r="G17" s="13">
        <v>0</v>
      </c>
      <c r="H17" s="13">
        <f>ROUND(F17*AE17,2)</f>
        <v>0</v>
      </c>
      <c r="I17" s="13">
        <f>J17-H17</f>
        <v>0</v>
      </c>
      <c r="J17" s="13">
        <f>ROUND(F17*G17,2)</f>
        <v>0</v>
      </c>
      <c r="K17" s="13">
        <v>0</v>
      </c>
      <c r="L17" s="13">
        <f>F17*K17</f>
        <v>0</v>
      </c>
      <c r="N17" s="24" t="s">
        <v>7</v>
      </c>
      <c r="O17" s="13">
        <f>IF(N17="5",I17,0)</f>
        <v>0</v>
      </c>
      <c r="Z17" s="13">
        <f>IF(AD17=0,J17,0)</f>
        <v>0</v>
      </c>
      <c r="AA17" s="13">
        <f>IF(AD17=14,J17,0)</f>
        <v>0</v>
      </c>
      <c r="AB17" s="13">
        <f>IF(AD17=20,J17,0)</f>
        <v>0</v>
      </c>
      <c r="AD17" s="13">
        <v>20</v>
      </c>
      <c r="AE17" s="13">
        <f>G17*0</f>
        <v>0</v>
      </c>
      <c r="AF17" s="13">
        <f>G17*(1-0)</f>
        <v>0</v>
      </c>
    </row>
    <row r="18" spans="1:37" x14ac:dyDescent="0.25">
      <c r="A18" s="4" t="s">
        <v>11</v>
      </c>
      <c r="B18" s="4"/>
      <c r="C18" s="4" t="s">
        <v>66</v>
      </c>
      <c r="D18" s="4" t="s">
        <v>134</v>
      </c>
      <c r="E18" s="4" t="s">
        <v>208</v>
      </c>
      <c r="F18" s="13">
        <v>25.62</v>
      </c>
      <c r="G18" s="13">
        <v>0</v>
      </c>
      <c r="H18" s="13">
        <f>ROUND(F18*AE18,2)</f>
        <v>0</v>
      </c>
      <c r="I18" s="13">
        <f>J18-H18</f>
        <v>0</v>
      </c>
      <c r="J18" s="13">
        <f>ROUND(F18*G18,2)</f>
        <v>0</v>
      </c>
      <c r="K18" s="13">
        <v>0</v>
      </c>
      <c r="L18" s="13">
        <f>F18*K18</f>
        <v>0</v>
      </c>
      <c r="N18" s="24" t="s">
        <v>7</v>
      </c>
      <c r="O18" s="13">
        <f>IF(N18="5",I18,0)</f>
        <v>0</v>
      </c>
      <c r="Z18" s="13">
        <f>IF(AD18=0,J18,0)</f>
        <v>0</v>
      </c>
      <c r="AA18" s="13">
        <f>IF(AD18=14,J18,0)</f>
        <v>0</v>
      </c>
      <c r="AB18" s="13">
        <f>IF(AD18=20,J18,0)</f>
        <v>0</v>
      </c>
      <c r="AD18" s="13">
        <v>20</v>
      </c>
      <c r="AE18" s="13">
        <f>G18*0</f>
        <v>0</v>
      </c>
      <c r="AF18" s="13">
        <f>G18*(1-0)</f>
        <v>0</v>
      </c>
    </row>
    <row r="19" spans="1:37" x14ac:dyDescent="0.25">
      <c r="A19" s="4" t="s">
        <v>12</v>
      </c>
      <c r="B19" s="4"/>
      <c r="C19" s="4" t="s">
        <v>67</v>
      </c>
      <c r="D19" s="4" t="s">
        <v>135</v>
      </c>
      <c r="E19" s="4" t="s">
        <v>207</v>
      </c>
      <c r="F19" s="13">
        <v>86</v>
      </c>
      <c r="G19" s="13">
        <v>0</v>
      </c>
      <c r="H19" s="13">
        <f>ROUND(F19*AE19,2)</f>
        <v>0</v>
      </c>
      <c r="I19" s="13">
        <f>J19-H19</f>
        <v>0</v>
      </c>
      <c r="J19" s="13">
        <f>ROUND(F19*G19,2)</f>
        <v>0</v>
      </c>
      <c r="K19" s="13">
        <v>0</v>
      </c>
      <c r="L19" s="13">
        <f>F19*K19</f>
        <v>0</v>
      </c>
      <c r="N19" s="24" t="s">
        <v>7</v>
      </c>
      <c r="O19" s="13">
        <f>IF(N19="5",I19,0)</f>
        <v>0</v>
      </c>
      <c r="Z19" s="13">
        <f>IF(AD19=0,J19,0)</f>
        <v>0</v>
      </c>
      <c r="AA19" s="13">
        <f>IF(AD19=14,J19,0)</f>
        <v>0</v>
      </c>
      <c r="AB19" s="13">
        <f>IF(AD19=20,J19,0)</f>
        <v>0</v>
      </c>
      <c r="AD19" s="13">
        <v>20</v>
      </c>
      <c r="AE19" s="13">
        <f>G19*0</f>
        <v>0</v>
      </c>
      <c r="AF19" s="13">
        <f>G19*(1-0)</f>
        <v>0</v>
      </c>
    </row>
    <row r="20" spans="1:37" x14ac:dyDescent="0.25">
      <c r="A20" s="5"/>
      <c r="B20" s="5"/>
      <c r="C20" s="11" t="s">
        <v>22</v>
      </c>
      <c r="D20" s="49" t="s">
        <v>136</v>
      </c>
      <c r="E20" s="50"/>
      <c r="F20" s="50"/>
      <c r="G20" s="50"/>
      <c r="H20" s="26">
        <f>SUM(H21:H22)</f>
        <v>0</v>
      </c>
      <c r="I20" s="26">
        <f>SUM(I21:I22)</f>
        <v>0</v>
      </c>
      <c r="J20" s="26">
        <f>H20+I20</f>
        <v>0</v>
      </c>
      <c r="K20" s="21"/>
      <c r="L20" s="26">
        <f>SUM(L21:L22)</f>
        <v>0</v>
      </c>
      <c r="P20" s="26">
        <f>IF(Q20="PR",J20,SUM(O21:O22))</f>
        <v>0</v>
      </c>
      <c r="Q20" s="21" t="s">
        <v>229</v>
      </c>
      <c r="R20" s="26">
        <f>IF(Q20="HS",H20,0)</f>
        <v>0</v>
      </c>
      <c r="S20" s="26">
        <f>IF(Q20="HS",I20-P20,0)</f>
        <v>0</v>
      </c>
      <c r="T20" s="26">
        <f>IF(Q20="PS",H20,0)</f>
        <v>0</v>
      </c>
      <c r="U20" s="26">
        <f>IF(Q20="PS",I20-P20,0)</f>
        <v>0</v>
      </c>
      <c r="V20" s="26">
        <f>IF(Q20="MP",H20,0)</f>
        <v>0</v>
      </c>
      <c r="W20" s="26">
        <f>IF(Q20="MP",I20-P20,0)</f>
        <v>0</v>
      </c>
      <c r="X20" s="26">
        <f>IF(Q20="OM",H20,0)</f>
        <v>0</v>
      </c>
      <c r="Y20" s="21"/>
      <c r="AI20" s="26">
        <f>SUM(Z21:Z22)</f>
        <v>0</v>
      </c>
      <c r="AJ20" s="26">
        <f>SUM(AA21:AA22)</f>
        <v>0</v>
      </c>
      <c r="AK20" s="26">
        <f>SUM(AB21:AB22)</f>
        <v>0</v>
      </c>
    </row>
    <row r="21" spans="1:37" x14ac:dyDescent="0.25">
      <c r="A21" s="4" t="s">
        <v>13</v>
      </c>
      <c r="B21" s="4"/>
      <c r="C21" s="4" t="s">
        <v>68</v>
      </c>
      <c r="D21" s="4" t="s">
        <v>137</v>
      </c>
      <c r="E21" s="4" t="s">
        <v>208</v>
      </c>
      <c r="F21" s="13">
        <v>70.88</v>
      </c>
      <c r="G21" s="13">
        <v>0</v>
      </c>
      <c r="H21" s="13">
        <f>ROUND(F21*AE21,2)</f>
        <v>0</v>
      </c>
      <c r="I21" s="13">
        <f>J21-H21</f>
        <v>0</v>
      </c>
      <c r="J21" s="13">
        <f>ROUND(F21*G21,2)</f>
        <v>0</v>
      </c>
      <c r="K21" s="13">
        <v>0</v>
      </c>
      <c r="L21" s="13">
        <f>F21*K21</f>
        <v>0</v>
      </c>
      <c r="N21" s="24" t="s">
        <v>7</v>
      </c>
      <c r="O21" s="13">
        <f>IF(N21="5",I21,0)</f>
        <v>0</v>
      </c>
      <c r="Z21" s="13">
        <f>IF(AD21=0,J21,0)</f>
        <v>0</v>
      </c>
      <c r="AA21" s="13">
        <f>IF(AD21=14,J21,0)</f>
        <v>0</v>
      </c>
      <c r="AB21" s="13">
        <f>IF(AD21=20,J21,0)</f>
        <v>0</v>
      </c>
      <c r="AD21" s="13">
        <v>20</v>
      </c>
      <c r="AE21" s="13">
        <f>G21*0</f>
        <v>0</v>
      </c>
      <c r="AF21" s="13">
        <f>G21*(1-0)</f>
        <v>0</v>
      </c>
    </row>
    <row r="22" spans="1:37" x14ac:dyDescent="0.25">
      <c r="A22" s="4" t="s">
        <v>14</v>
      </c>
      <c r="B22" s="4"/>
      <c r="C22" s="4" t="s">
        <v>69</v>
      </c>
      <c r="D22" s="4" t="s">
        <v>138</v>
      </c>
      <c r="E22" s="4" t="s">
        <v>208</v>
      </c>
      <c r="F22" s="13">
        <v>25.62</v>
      </c>
      <c r="G22" s="13">
        <v>0</v>
      </c>
      <c r="H22" s="13">
        <f>ROUND(F22*AE22,2)</f>
        <v>0</v>
      </c>
      <c r="I22" s="13">
        <f>J22-H22</f>
        <v>0</v>
      </c>
      <c r="J22" s="13">
        <f>ROUND(F22*G22,2)</f>
        <v>0</v>
      </c>
      <c r="K22" s="13">
        <v>0</v>
      </c>
      <c r="L22" s="13">
        <f>F22*K22</f>
        <v>0</v>
      </c>
      <c r="N22" s="24" t="s">
        <v>7</v>
      </c>
      <c r="O22" s="13">
        <f>IF(N22="5",I22,0)</f>
        <v>0</v>
      </c>
      <c r="Z22" s="13">
        <f>IF(AD22=0,J22,0)</f>
        <v>0</v>
      </c>
      <c r="AA22" s="13">
        <f>IF(AD22=14,J22,0)</f>
        <v>0</v>
      </c>
      <c r="AB22" s="13">
        <f>IF(AD22=20,J22,0)</f>
        <v>0</v>
      </c>
      <c r="AD22" s="13">
        <v>20</v>
      </c>
      <c r="AE22" s="13">
        <f>G22*0</f>
        <v>0</v>
      </c>
      <c r="AF22" s="13">
        <f>G22*(1-0)</f>
        <v>0</v>
      </c>
    </row>
    <row r="23" spans="1:37" x14ac:dyDescent="0.25">
      <c r="A23" s="5"/>
      <c r="B23" s="5"/>
      <c r="C23" s="11" t="s">
        <v>23</v>
      </c>
      <c r="D23" s="49" t="s">
        <v>139</v>
      </c>
      <c r="E23" s="50"/>
      <c r="F23" s="50"/>
      <c r="G23" s="50"/>
      <c r="H23" s="26">
        <f>SUM(H24:H26)</f>
        <v>0</v>
      </c>
      <c r="I23" s="26">
        <f>SUM(I24:I26)</f>
        <v>0</v>
      </c>
      <c r="J23" s="26">
        <f>H23+I23</f>
        <v>0</v>
      </c>
      <c r="K23" s="21"/>
      <c r="L23" s="26">
        <f>SUM(L24:L26)</f>
        <v>24.381999999999998</v>
      </c>
      <c r="P23" s="26">
        <f>IF(Q23="PR",J23,SUM(O24:O26))</f>
        <v>0</v>
      </c>
      <c r="Q23" s="21" t="s">
        <v>229</v>
      </c>
      <c r="R23" s="26">
        <f>IF(Q23="HS",H23,0)</f>
        <v>0</v>
      </c>
      <c r="S23" s="26">
        <f>IF(Q23="HS",I23-P23,0)</f>
        <v>0</v>
      </c>
      <c r="T23" s="26">
        <f>IF(Q23="PS",H23,0)</f>
        <v>0</v>
      </c>
      <c r="U23" s="26">
        <f>IF(Q23="PS",I23-P23,0)</f>
        <v>0</v>
      </c>
      <c r="V23" s="26">
        <f>IF(Q23="MP",H23,0)</f>
        <v>0</v>
      </c>
      <c r="W23" s="26">
        <f>IF(Q23="MP",I23-P23,0)</f>
        <v>0</v>
      </c>
      <c r="X23" s="26">
        <f>IF(Q23="OM",H23,0)</f>
        <v>0</v>
      </c>
      <c r="Y23" s="21"/>
      <c r="AI23" s="26">
        <f>SUM(Z24:Z26)</f>
        <v>0</v>
      </c>
      <c r="AJ23" s="26">
        <f>SUM(AA24:AA26)</f>
        <v>0</v>
      </c>
      <c r="AK23" s="26">
        <f>SUM(AB24:AB26)</f>
        <v>0</v>
      </c>
    </row>
    <row r="24" spans="1:37" x14ac:dyDescent="0.25">
      <c r="A24" s="4" t="s">
        <v>15</v>
      </c>
      <c r="B24" s="4"/>
      <c r="C24" s="4" t="s">
        <v>70</v>
      </c>
      <c r="D24" s="4" t="s">
        <v>140</v>
      </c>
      <c r="E24" s="4" t="s">
        <v>208</v>
      </c>
      <c r="F24" s="13">
        <v>70.88</v>
      </c>
      <c r="G24" s="13">
        <v>0</v>
      </c>
      <c r="H24" s="13">
        <f>ROUND(F24*AE24,2)</f>
        <v>0</v>
      </c>
      <c r="I24" s="13">
        <f>J24-H24</f>
        <v>0</v>
      </c>
      <c r="J24" s="13">
        <f>ROUND(F24*G24,2)</f>
        <v>0</v>
      </c>
      <c r="K24" s="13">
        <v>0</v>
      </c>
      <c r="L24" s="13">
        <f>F24*K24</f>
        <v>0</v>
      </c>
      <c r="N24" s="24" t="s">
        <v>7</v>
      </c>
      <c r="O24" s="13">
        <f>IF(N24="5",I24,0)</f>
        <v>0</v>
      </c>
      <c r="Z24" s="13">
        <f>IF(AD24=0,J24,0)</f>
        <v>0</v>
      </c>
      <c r="AA24" s="13">
        <f>IF(AD24=14,J24,0)</f>
        <v>0</v>
      </c>
      <c r="AB24" s="13">
        <f>IF(AD24=20,J24,0)</f>
        <v>0</v>
      </c>
      <c r="AD24" s="13">
        <v>20</v>
      </c>
      <c r="AE24" s="13">
        <f>G24*0</f>
        <v>0</v>
      </c>
      <c r="AF24" s="13">
        <f>G24*(1-0)</f>
        <v>0</v>
      </c>
    </row>
    <row r="25" spans="1:37" x14ac:dyDescent="0.25">
      <c r="A25" s="4" t="s">
        <v>16</v>
      </c>
      <c r="B25" s="4"/>
      <c r="C25" s="4" t="s">
        <v>71</v>
      </c>
      <c r="D25" s="4" t="s">
        <v>141</v>
      </c>
      <c r="E25" s="4" t="s">
        <v>208</v>
      </c>
      <c r="F25" s="13">
        <v>25.62</v>
      </c>
      <c r="G25" s="13">
        <v>0</v>
      </c>
      <c r="H25" s="13">
        <f>ROUND(F25*AE25,2)</f>
        <v>0</v>
      </c>
      <c r="I25" s="13">
        <f>J25-H25</f>
        <v>0</v>
      </c>
      <c r="J25" s="13">
        <f>ROUND(F25*G25,2)</f>
        <v>0</v>
      </c>
      <c r="K25" s="13">
        <v>0</v>
      </c>
      <c r="L25" s="13">
        <f>F25*K25</f>
        <v>0</v>
      </c>
      <c r="N25" s="24" t="s">
        <v>7</v>
      </c>
      <c r="O25" s="13">
        <f>IF(N25="5",I25,0)</f>
        <v>0</v>
      </c>
      <c r="Z25" s="13">
        <f>IF(AD25=0,J25,0)</f>
        <v>0</v>
      </c>
      <c r="AA25" s="13">
        <f>IF(AD25=14,J25,0)</f>
        <v>0</v>
      </c>
      <c r="AB25" s="13">
        <f>IF(AD25=20,J25,0)</f>
        <v>0</v>
      </c>
      <c r="AD25" s="13">
        <v>20</v>
      </c>
      <c r="AE25" s="13">
        <f>G25*0</f>
        <v>0</v>
      </c>
      <c r="AF25" s="13">
        <f>G25*(1-0)</f>
        <v>0</v>
      </c>
    </row>
    <row r="26" spans="1:37" x14ac:dyDescent="0.25">
      <c r="A26" s="4" t="s">
        <v>17</v>
      </c>
      <c r="B26" s="4"/>
      <c r="C26" s="4" t="s">
        <v>72</v>
      </c>
      <c r="D26" s="4" t="s">
        <v>142</v>
      </c>
      <c r="E26" s="4" t="s">
        <v>208</v>
      </c>
      <c r="F26" s="13">
        <v>14.6</v>
      </c>
      <c r="G26" s="13">
        <v>0</v>
      </c>
      <c r="H26" s="13">
        <f>ROUND(F26*AE26,2)</f>
        <v>0</v>
      </c>
      <c r="I26" s="13">
        <f>J26-H26</f>
        <v>0</v>
      </c>
      <c r="J26" s="13">
        <f>ROUND(F26*G26,2)</f>
        <v>0</v>
      </c>
      <c r="K26" s="13">
        <v>1.67</v>
      </c>
      <c r="L26" s="13">
        <f>F26*K26</f>
        <v>24.381999999999998</v>
      </c>
      <c r="N26" s="24" t="s">
        <v>9</v>
      </c>
      <c r="O26" s="13">
        <f>IF(N26="5",I26,0)</f>
        <v>0</v>
      </c>
      <c r="Z26" s="13">
        <f>IF(AD26=0,J26,0)</f>
        <v>0</v>
      </c>
      <c r="AA26" s="13">
        <f>IF(AD26=14,J26,0)</f>
        <v>0</v>
      </c>
      <c r="AB26" s="13">
        <f>IF(AD26=20,J26,0)</f>
        <v>0</v>
      </c>
      <c r="AD26" s="13">
        <v>20</v>
      </c>
      <c r="AE26" s="13">
        <f>G26*0.598756749398793</f>
        <v>0</v>
      </c>
      <c r="AF26" s="13">
        <f>G26*(1-0.598756749398793)</f>
        <v>0</v>
      </c>
    </row>
    <row r="27" spans="1:37" x14ac:dyDescent="0.25">
      <c r="A27" s="5"/>
      <c r="B27" s="5"/>
      <c r="C27" s="11" t="s">
        <v>24</v>
      </c>
      <c r="D27" s="49" t="s">
        <v>143</v>
      </c>
      <c r="E27" s="50"/>
      <c r="F27" s="50"/>
      <c r="G27" s="50"/>
      <c r="H27" s="26">
        <f>SUM(H28:H30)</f>
        <v>0</v>
      </c>
      <c r="I27" s="26">
        <f>SUM(I28:I30)</f>
        <v>0</v>
      </c>
      <c r="J27" s="26">
        <f>H27+I27</f>
        <v>0</v>
      </c>
      <c r="K27" s="21"/>
      <c r="L27" s="26">
        <f>SUM(L28:L30)</f>
        <v>1.575E-3</v>
      </c>
      <c r="P27" s="26">
        <f>IF(Q27="PR",J27,SUM(O28:O30))</f>
        <v>0</v>
      </c>
      <c r="Q27" s="21" t="s">
        <v>229</v>
      </c>
      <c r="R27" s="26">
        <f>IF(Q27="HS",H27,0)</f>
        <v>0</v>
      </c>
      <c r="S27" s="26">
        <f>IF(Q27="HS",I27-P27,0)</f>
        <v>0</v>
      </c>
      <c r="T27" s="26">
        <f>IF(Q27="PS",H27,0)</f>
        <v>0</v>
      </c>
      <c r="U27" s="26">
        <f>IF(Q27="PS",I27-P27,0)</f>
        <v>0</v>
      </c>
      <c r="V27" s="26">
        <f>IF(Q27="MP",H27,0)</f>
        <v>0</v>
      </c>
      <c r="W27" s="26">
        <f>IF(Q27="MP",I27-P27,0)</f>
        <v>0</v>
      </c>
      <c r="X27" s="26">
        <f>IF(Q27="OM",H27,0)</f>
        <v>0</v>
      </c>
      <c r="Y27" s="21"/>
      <c r="AI27" s="26">
        <f>SUM(Z28:Z30)</f>
        <v>0</v>
      </c>
      <c r="AJ27" s="26">
        <f>SUM(AA28:AA30)</f>
        <v>0</v>
      </c>
      <c r="AK27" s="26">
        <f>SUM(AB28:AB30)</f>
        <v>0</v>
      </c>
    </row>
    <row r="28" spans="1:37" x14ac:dyDescent="0.25">
      <c r="A28" s="4" t="s">
        <v>18</v>
      </c>
      <c r="B28" s="4"/>
      <c r="C28" s="4" t="s">
        <v>73</v>
      </c>
      <c r="D28" s="4" t="s">
        <v>144</v>
      </c>
      <c r="E28" s="4" t="s">
        <v>209</v>
      </c>
      <c r="F28" s="13">
        <v>1055.49</v>
      </c>
      <c r="G28" s="13">
        <v>0</v>
      </c>
      <c r="H28" s="13">
        <f>ROUND(F28*AE28,2)</f>
        <v>0</v>
      </c>
      <c r="I28" s="13">
        <f>J28-H28</f>
        <v>0</v>
      </c>
      <c r="J28" s="13">
        <f>ROUND(F28*G28,2)</f>
        <v>0</v>
      </c>
      <c r="K28" s="13">
        <v>0</v>
      </c>
      <c r="L28" s="13">
        <f>F28*K28</f>
        <v>0</v>
      </c>
      <c r="N28" s="24" t="s">
        <v>7</v>
      </c>
      <c r="O28" s="13">
        <f>IF(N28="5",I28,0)</f>
        <v>0</v>
      </c>
      <c r="Z28" s="13">
        <f>IF(AD28=0,J28,0)</f>
        <v>0</v>
      </c>
      <c r="AA28" s="13">
        <f>IF(AD28=14,J28,0)</f>
        <v>0</v>
      </c>
      <c r="AB28" s="13">
        <f>IF(AD28=20,J28,0)</f>
        <v>0</v>
      </c>
      <c r="AD28" s="13">
        <v>20</v>
      </c>
      <c r="AE28" s="13">
        <f>G28*0</f>
        <v>0</v>
      </c>
      <c r="AF28" s="13">
        <f>G28*(1-0)</f>
        <v>0</v>
      </c>
    </row>
    <row r="29" spans="1:37" x14ac:dyDescent="0.25">
      <c r="A29" s="4" t="s">
        <v>19</v>
      </c>
      <c r="B29" s="4"/>
      <c r="C29" s="4" t="s">
        <v>74</v>
      </c>
      <c r="D29" s="4" t="s">
        <v>145</v>
      </c>
      <c r="E29" s="4" t="s">
        <v>209</v>
      </c>
      <c r="F29" s="13">
        <v>52.5</v>
      </c>
      <c r="G29" s="13">
        <v>0</v>
      </c>
      <c r="H29" s="13">
        <f>ROUND(F29*AE29,2)</f>
        <v>0</v>
      </c>
      <c r="I29" s="13">
        <f>J29-H29</f>
        <v>0</v>
      </c>
      <c r="J29" s="13">
        <f>ROUND(F29*G29,2)</f>
        <v>0</v>
      </c>
      <c r="K29" s="13">
        <v>0</v>
      </c>
      <c r="L29" s="13">
        <f>F29*K29</f>
        <v>0</v>
      </c>
      <c r="N29" s="24" t="s">
        <v>7</v>
      </c>
      <c r="O29" s="13">
        <f>IF(N29="5",I29,0)</f>
        <v>0</v>
      </c>
      <c r="Z29" s="13">
        <f>IF(AD29=0,J29,0)</f>
        <v>0</v>
      </c>
      <c r="AA29" s="13">
        <f>IF(AD29=14,J29,0)</f>
        <v>0</v>
      </c>
      <c r="AB29" s="13">
        <f>IF(AD29=20,J29,0)</f>
        <v>0</v>
      </c>
      <c r="AD29" s="13">
        <v>20</v>
      </c>
      <c r="AE29" s="13">
        <f>G29*0</f>
        <v>0</v>
      </c>
      <c r="AF29" s="13">
        <f>G29*(1-0)</f>
        <v>0</v>
      </c>
    </row>
    <row r="30" spans="1:37" x14ac:dyDescent="0.25">
      <c r="A30" s="4" t="s">
        <v>20</v>
      </c>
      <c r="B30" s="4"/>
      <c r="C30" s="4" t="s">
        <v>75</v>
      </c>
      <c r="D30" s="4" t="s">
        <v>146</v>
      </c>
      <c r="E30" s="4" t="s">
        <v>209</v>
      </c>
      <c r="F30" s="13">
        <v>52.5</v>
      </c>
      <c r="G30" s="13">
        <v>0</v>
      </c>
      <c r="H30" s="13">
        <f>ROUND(F30*AE30,2)</f>
        <v>0</v>
      </c>
      <c r="I30" s="13">
        <f>J30-H30</f>
        <v>0</v>
      </c>
      <c r="J30" s="13">
        <f>ROUND(F30*G30,2)</f>
        <v>0</v>
      </c>
      <c r="K30" s="13">
        <v>3.0000000000000001E-5</v>
      </c>
      <c r="L30" s="13">
        <f>F30*K30</f>
        <v>1.575E-3</v>
      </c>
      <c r="N30" s="24" t="s">
        <v>9</v>
      </c>
      <c r="O30" s="13">
        <f>IF(N30="5",I30,0)</f>
        <v>0</v>
      </c>
      <c r="Z30" s="13">
        <f>IF(AD30=0,J30,0)</f>
        <v>0</v>
      </c>
      <c r="AA30" s="13">
        <f>IF(AD30=14,J30,0)</f>
        <v>0</v>
      </c>
      <c r="AB30" s="13">
        <f>IF(AD30=20,J30,0)</f>
        <v>0</v>
      </c>
      <c r="AD30" s="13">
        <v>20</v>
      </c>
      <c r="AE30" s="13">
        <f>G30*0.191011235955056</f>
        <v>0</v>
      </c>
      <c r="AF30" s="13">
        <f>G30*(1-0.191011235955056)</f>
        <v>0</v>
      </c>
    </row>
    <row r="31" spans="1:37" x14ac:dyDescent="0.25">
      <c r="A31" s="5"/>
      <c r="B31" s="5"/>
      <c r="C31" s="11" t="s">
        <v>27</v>
      </c>
      <c r="D31" s="49" t="s">
        <v>147</v>
      </c>
      <c r="E31" s="50"/>
      <c r="F31" s="50"/>
      <c r="G31" s="50"/>
      <c r="H31" s="26">
        <f>SUM(H32:H32)</f>
        <v>0</v>
      </c>
      <c r="I31" s="26">
        <f>SUM(I32:I32)</f>
        <v>0</v>
      </c>
      <c r="J31" s="26">
        <f>H31+I31</f>
        <v>0</v>
      </c>
      <c r="K31" s="21"/>
      <c r="L31" s="26">
        <f>SUM(L32:L32)</f>
        <v>0.104615</v>
      </c>
      <c r="P31" s="26">
        <f>IF(Q31="PR",J31,SUM(O32:O32))</f>
        <v>0</v>
      </c>
      <c r="Q31" s="21" t="s">
        <v>229</v>
      </c>
      <c r="R31" s="26">
        <f>IF(Q31="HS",H31,0)</f>
        <v>0</v>
      </c>
      <c r="S31" s="26">
        <f>IF(Q31="HS",I31-P31,0)</f>
        <v>0</v>
      </c>
      <c r="T31" s="26">
        <f>IF(Q31="PS",H31,0)</f>
        <v>0</v>
      </c>
      <c r="U31" s="26">
        <f>IF(Q31="PS",I31-P31,0)</f>
        <v>0</v>
      </c>
      <c r="V31" s="26">
        <f>IF(Q31="MP",H31,0)</f>
        <v>0</v>
      </c>
      <c r="W31" s="26">
        <f>IF(Q31="MP",I31-P31,0)</f>
        <v>0</v>
      </c>
      <c r="X31" s="26">
        <f>IF(Q31="OM",H31,0)</f>
        <v>0</v>
      </c>
      <c r="Y31" s="21"/>
      <c r="AI31" s="26">
        <f>SUM(Z32:Z32)</f>
        <v>0</v>
      </c>
      <c r="AJ31" s="26">
        <f>SUM(AA32:AA32)</f>
        <v>0</v>
      </c>
      <c r="AK31" s="26">
        <f>SUM(AB32:AB32)</f>
        <v>0</v>
      </c>
    </row>
    <row r="32" spans="1:37" x14ac:dyDescent="0.25">
      <c r="A32" s="4" t="s">
        <v>21</v>
      </c>
      <c r="B32" s="4"/>
      <c r="C32" s="4" t="s">
        <v>76</v>
      </c>
      <c r="D32" s="4" t="s">
        <v>148</v>
      </c>
      <c r="E32" s="4" t="s">
        <v>210</v>
      </c>
      <c r="F32" s="13">
        <v>213.5</v>
      </c>
      <c r="G32" s="13">
        <v>0</v>
      </c>
      <c r="H32" s="13">
        <f>ROUND(F32*AE32,2)</f>
        <v>0</v>
      </c>
      <c r="I32" s="13">
        <f>J32-H32</f>
        <v>0</v>
      </c>
      <c r="J32" s="13">
        <f>ROUND(F32*G32,2)</f>
        <v>0</v>
      </c>
      <c r="K32" s="13">
        <v>4.8999999999999998E-4</v>
      </c>
      <c r="L32" s="13">
        <f>F32*K32</f>
        <v>0.104615</v>
      </c>
      <c r="N32" s="24" t="s">
        <v>7</v>
      </c>
      <c r="O32" s="13">
        <f>IF(N32="5",I32,0)</f>
        <v>0</v>
      </c>
      <c r="Z32" s="13">
        <f>IF(AD32=0,J32,0)</f>
        <v>0</v>
      </c>
      <c r="AA32" s="13">
        <f>IF(AD32=14,J32,0)</f>
        <v>0</v>
      </c>
      <c r="AB32" s="13">
        <f>IF(AD32=20,J32,0)</f>
        <v>0</v>
      </c>
      <c r="AD32" s="13">
        <v>20</v>
      </c>
      <c r="AE32" s="13">
        <f>G32*0.727448810182623</f>
        <v>0</v>
      </c>
      <c r="AF32" s="13">
        <f>G32*(1-0.727448810182623)</f>
        <v>0</v>
      </c>
    </row>
    <row r="33" spans="1:37" x14ac:dyDescent="0.25">
      <c r="A33" s="5"/>
      <c r="B33" s="5"/>
      <c r="C33" s="11" t="s">
        <v>33</v>
      </c>
      <c r="D33" s="49" t="s">
        <v>149</v>
      </c>
      <c r="E33" s="50"/>
      <c r="F33" s="50"/>
      <c r="G33" s="50"/>
      <c r="H33" s="26">
        <f>SUM(H34:H43)</f>
        <v>0</v>
      </c>
      <c r="I33" s="26">
        <f>SUM(I34:I43)</f>
        <v>0</v>
      </c>
      <c r="J33" s="26">
        <f>H33+I33</f>
        <v>0</v>
      </c>
      <c r="K33" s="21"/>
      <c r="L33" s="26">
        <f>SUM(L34:L43)</f>
        <v>91.15882135999999</v>
      </c>
      <c r="P33" s="26">
        <f>IF(Q33="PR",J33,SUM(O34:O43))</f>
        <v>0</v>
      </c>
      <c r="Q33" s="21" t="s">
        <v>229</v>
      </c>
      <c r="R33" s="26">
        <f>IF(Q33="HS",H33,0)</f>
        <v>0</v>
      </c>
      <c r="S33" s="26">
        <f>IF(Q33="HS",I33-P33,0)</f>
        <v>0</v>
      </c>
      <c r="T33" s="26">
        <f>IF(Q33="PS",H33,0)</f>
        <v>0</v>
      </c>
      <c r="U33" s="26">
        <f>IF(Q33="PS",I33-P33,0)</f>
        <v>0</v>
      </c>
      <c r="V33" s="26">
        <f>IF(Q33="MP",H33,0)</f>
        <v>0</v>
      </c>
      <c r="W33" s="26">
        <f>IF(Q33="MP",I33-P33,0)</f>
        <v>0</v>
      </c>
      <c r="X33" s="26">
        <f>IF(Q33="OM",H33,0)</f>
        <v>0</v>
      </c>
      <c r="Y33" s="21"/>
      <c r="AI33" s="26">
        <f>SUM(Z34:Z43)</f>
        <v>0</v>
      </c>
      <c r="AJ33" s="26">
        <f>SUM(AA34:AA43)</f>
        <v>0</v>
      </c>
      <c r="AK33" s="26">
        <f>SUM(AB34:AB43)</f>
        <v>0</v>
      </c>
    </row>
    <row r="34" spans="1:37" x14ac:dyDescent="0.25">
      <c r="A34" s="4" t="s">
        <v>22</v>
      </c>
      <c r="B34" s="4"/>
      <c r="C34" s="4" t="s">
        <v>77</v>
      </c>
      <c r="D34" s="4" t="s">
        <v>150</v>
      </c>
      <c r="E34" s="4" t="s">
        <v>208</v>
      </c>
      <c r="F34" s="13">
        <v>10.62</v>
      </c>
      <c r="G34" s="13">
        <v>0</v>
      </c>
      <c r="H34" s="13">
        <f t="shared" ref="H34:H43" si="0">ROUND(F34*AE34,2)</f>
        <v>0</v>
      </c>
      <c r="I34" s="13">
        <f t="shared" ref="I34:I43" si="1">J34-H34</f>
        <v>0</v>
      </c>
      <c r="J34" s="13">
        <f t="shared" ref="J34:J43" si="2">ROUND(F34*G34,2)</f>
        <v>0</v>
      </c>
      <c r="K34" s="13">
        <v>2.45329</v>
      </c>
      <c r="L34" s="13">
        <f t="shared" ref="L34:L43" si="3">F34*K34</f>
        <v>26.053939799999998</v>
      </c>
      <c r="N34" s="24" t="s">
        <v>7</v>
      </c>
      <c r="O34" s="13">
        <f t="shared" ref="O34:O43" si="4">IF(N34="5",I34,0)</f>
        <v>0</v>
      </c>
      <c r="Z34" s="13">
        <f t="shared" ref="Z34:Z43" si="5">IF(AD34=0,J34,0)</f>
        <v>0</v>
      </c>
      <c r="AA34" s="13">
        <f t="shared" ref="AA34:AA43" si="6">IF(AD34=14,J34,0)</f>
        <v>0</v>
      </c>
      <c r="AB34" s="13">
        <f t="shared" ref="AB34:AB43" si="7">IF(AD34=20,J34,0)</f>
        <v>0</v>
      </c>
      <c r="AD34" s="13">
        <v>20</v>
      </c>
      <c r="AE34" s="13">
        <f>G34*0.929401429216371</f>
        <v>0</v>
      </c>
      <c r="AF34" s="13">
        <f>G34*(1-0.929401429216371)</f>
        <v>0</v>
      </c>
    </row>
    <row r="35" spans="1:37" x14ac:dyDescent="0.25">
      <c r="A35" s="4" t="s">
        <v>23</v>
      </c>
      <c r="B35" s="4"/>
      <c r="C35" s="4" t="s">
        <v>78</v>
      </c>
      <c r="D35" s="4" t="s">
        <v>151</v>
      </c>
      <c r="E35" s="4" t="s">
        <v>209</v>
      </c>
      <c r="F35" s="13">
        <v>26.55</v>
      </c>
      <c r="G35" s="13">
        <v>0</v>
      </c>
      <c r="H35" s="13">
        <f t="shared" si="0"/>
        <v>0</v>
      </c>
      <c r="I35" s="13">
        <f t="shared" si="1"/>
        <v>0</v>
      </c>
      <c r="J35" s="13">
        <f t="shared" si="2"/>
        <v>0</v>
      </c>
      <c r="K35" s="13">
        <v>2.5000000000000001E-4</v>
      </c>
      <c r="L35" s="13">
        <f t="shared" si="3"/>
        <v>6.6375000000000002E-3</v>
      </c>
      <c r="N35" s="24" t="s">
        <v>7</v>
      </c>
      <c r="O35" s="13">
        <f t="shared" si="4"/>
        <v>0</v>
      </c>
      <c r="Z35" s="13">
        <f t="shared" si="5"/>
        <v>0</v>
      </c>
      <c r="AA35" s="13">
        <f t="shared" si="6"/>
        <v>0</v>
      </c>
      <c r="AB35" s="13">
        <f t="shared" si="7"/>
        <v>0</v>
      </c>
      <c r="AD35" s="13">
        <v>20</v>
      </c>
      <c r="AE35" s="13">
        <f>G35*0.0260444926749864</f>
        <v>0</v>
      </c>
      <c r="AF35" s="13">
        <f>G35*(1-0.0260444926749864)</f>
        <v>0</v>
      </c>
    </row>
    <row r="36" spans="1:37" x14ac:dyDescent="0.25">
      <c r="A36" s="4" t="s">
        <v>24</v>
      </c>
      <c r="B36" s="4"/>
      <c r="C36" s="4" t="s">
        <v>79</v>
      </c>
      <c r="D36" s="4" t="s">
        <v>152</v>
      </c>
      <c r="E36" s="4" t="s">
        <v>209</v>
      </c>
      <c r="F36" s="13">
        <v>26.55</v>
      </c>
      <c r="G36" s="13">
        <v>0</v>
      </c>
      <c r="H36" s="13">
        <f t="shared" si="0"/>
        <v>0</v>
      </c>
      <c r="I36" s="13">
        <f t="shared" si="1"/>
        <v>0</v>
      </c>
      <c r="J36" s="13">
        <f t="shared" si="2"/>
        <v>0</v>
      </c>
      <c r="K36" s="13">
        <v>0</v>
      </c>
      <c r="L36" s="13">
        <f t="shared" si="3"/>
        <v>0</v>
      </c>
      <c r="N36" s="24" t="s">
        <v>7</v>
      </c>
      <c r="O36" s="13">
        <f t="shared" si="4"/>
        <v>0</v>
      </c>
      <c r="Z36" s="13">
        <f t="shared" si="5"/>
        <v>0</v>
      </c>
      <c r="AA36" s="13">
        <f t="shared" si="6"/>
        <v>0</v>
      </c>
      <c r="AB36" s="13">
        <f t="shared" si="7"/>
        <v>0</v>
      </c>
      <c r="AD36" s="13">
        <v>20</v>
      </c>
      <c r="AE36" s="13">
        <f>G36*0</f>
        <v>0</v>
      </c>
      <c r="AF36" s="13">
        <f>G36*(1-0)</f>
        <v>0</v>
      </c>
    </row>
    <row r="37" spans="1:37" x14ac:dyDescent="0.25">
      <c r="A37" s="4" t="s">
        <v>25</v>
      </c>
      <c r="B37" s="4"/>
      <c r="C37" s="4" t="s">
        <v>80</v>
      </c>
      <c r="D37" s="4" t="s">
        <v>153</v>
      </c>
      <c r="E37" s="4" t="s">
        <v>209</v>
      </c>
      <c r="F37" s="13">
        <v>17.7</v>
      </c>
      <c r="G37" s="13">
        <v>0</v>
      </c>
      <c r="H37" s="13">
        <f t="shared" si="0"/>
        <v>0</v>
      </c>
      <c r="I37" s="13">
        <f t="shared" si="1"/>
        <v>0</v>
      </c>
      <c r="J37" s="13">
        <f t="shared" si="2"/>
        <v>0</v>
      </c>
      <c r="K37" s="13">
        <v>0.29096</v>
      </c>
      <c r="L37" s="13">
        <f t="shared" si="3"/>
        <v>5.1499920000000001</v>
      </c>
      <c r="N37" s="24" t="s">
        <v>9</v>
      </c>
      <c r="O37" s="13">
        <f t="shared" si="4"/>
        <v>0</v>
      </c>
      <c r="Z37" s="13">
        <f t="shared" si="5"/>
        <v>0</v>
      </c>
      <c r="AA37" s="13">
        <f t="shared" si="6"/>
        <v>0</v>
      </c>
      <c r="AB37" s="13">
        <f t="shared" si="7"/>
        <v>0</v>
      </c>
      <c r="AD37" s="13">
        <v>20</v>
      </c>
      <c r="AE37" s="13">
        <f>G37*0.355788177339901</f>
        <v>0</v>
      </c>
      <c r="AF37" s="13">
        <f>G37*(1-0.355788177339901)</f>
        <v>0</v>
      </c>
    </row>
    <row r="38" spans="1:37" x14ac:dyDescent="0.25">
      <c r="A38" s="4" t="s">
        <v>26</v>
      </c>
      <c r="B38" s="4"/>
      <c r="C38" s="4" t="s">
        <v>81</v>
      </c>
      <c r="D38" s="4" t="s">
        <v>154</v>
      </c>
      <c r="E38" s="4" t="s">
        <v>208</v>
      </c>
      <c r="F38" s="13">
        <v>8.4</v>
      </c>
      <c r="G38" s="13">
        <v>0</v>
      </c>
      <c r="H38" s="13">
        <f t="shared" si="0"/>
        <v>0</v>
      </c>
      <c r="I38" s="13">
        <f t="shared" si="1"/>
        <v>0</v>
      </c>
      <c r="J38" s="13">
        <f t="shared" si="2"/>
        <v>0</v>
      </c>
      <c r="K38" s="13">
        <v>2.5855999999999999</v>
      </c>
      <c r="L38" s="13">
        <f t="shared" si="3"/>
        <v>21.71904</v>
      </c>
      <c r="N38" s="24" t="s">
        <v>7</v>
      </c>
      <c r="O38" s="13">
        <f t="shared" si="4"/>
        <v>0</v>
      </c>
      <c r="Z38" s="13">
        <f t="shared" si="5"/>
        <v>0</v>
      </c>
      <c r="AA38" s="13">
        <f t="shared" si="6"/>
        <v>0</v>
      </c>
      <c r="AB38" s="13">
        <f t="shared" si="7"/>
        <v>0</v>
      </c>
      <c r="AD38" s="13">
        <v>20</v>
      </c>
      <c r="AE38" s="13">
        <f>G38*0.955789784090522</f>
        <v>0</v>
      </c>
      <c r="AF38" s="13">
        <f>G38*(1-0.955789784090522)</f>
        <v>0</v>
      </c>
    </row>
    <row r="39" spans="1:37" x14ac:dyDescent="0.25">
      <c r="A39" s="4" t="s">
        <v>27</v>
      </c>
      <c r="B39" s="4"/>
      <c r="C39" s="4" t="s">
        <v>82</v>
      </c>
      <c r="D39" s="4" t="s">
        <v>155</v>
      </c>
      <c r="E39" s="4" t="s">
        <v>209</v>
      </c>
      <c r="F39" s="13">
        <v>6.5</v>
      </c>
      <c r="G39" s="13">
        <v>0</v>
      </c>
      <c r="H39" s="13">
        <f t="shared" si="0"/>
        <v>0</v>
      </c>
      <c r="I39" s="13">
        <f t="shared" si="1"/>
        <v>0</v>
      </c>
      <c r="J39" s="13">
        <f t="shared" si="2"/>
        <v>0</v>
      </c>
      <c r="K39" s="13">
        <v>3.925E-2</v>
      </c>
      <c r="L39" s="13">
        <f t="shared" si="3"/>
        <v>0.25512499999999999</v>
      </c>
      <c r="N39" s="24" t="s">
        <v>7</v>
      </c>
      <c r="O39" s="13">
        <f t="shared" si="4"/>
        <v>0</v>
      </c>
      <c r="Z39" s="13">
        <f t="shared" si="5"/>
        <v>0</v>
      </c>
      <c r="AA39" s="13">
        <f t="shared" si="6"/>
        <v>0</v>
      </c>
      <c r="AB39" s="13">
        <f t="shared" si="7"/>
        <v>0</v>
      </c>
      <c r="AD39" s="13">
        <v>20</v>
      </c>
      <c r="AE39" s="13">
        <f>G39*0.250481346410855</f>
        <v>0</v>
      </c>
      <c r="AF39" s="13">
        <f>G39*(1-0.250481346410855)</f>
        <v>0</v>
      </c>
    </row>
    <row r="40" spans="1:37" x14ac:dyDescent="0.25">
      <c r="A40" s="4" t="s">
        <v>28</v>
      </c>
      <c r="B40" s="4"/>
      <c r="C40" s="4" t="s">
        <v>83</v>
      </c>
      <c r="D40" s="4" t="s">
        <v>156</v>
      </c>
      <c r="E40" s="4" t="s">
        <v>209</v>
      </c>
      <c r="F40" s="13">
        <v>6.5</v>
      </c>
      <c r="G40" s="13">
        <v>0</v>
      </c>
      <c r="H40" s="13">
        <f t="shared" si="0"/>
        <v>0</v>
      </c>
      <c r="I40" s="13">
        <f t="shared" si="1"/>
        <v>0</v>
      </c>
      <c r="J40" s="13">
        <f t="shared" si="2"/>
        <v>0</v>
      </c>
      <c r="K40" s="13">
        <v>0</v>
      </c>
      <c r="L40" s="13">
        <f t="shared" si="3"/>
        <v>0</v>
      </c>
      <c r="N40" s="24" t="s">
        <v>7</v>
      </c>
      <c r="O40" s="13">
        <f t="shared" si="4"/>
        <v>0</v>
      </c>
      <c r="Z40" s="13">
        <f t="shared" si="5"/>
        <v>0</v>
      </c>
      <c r="AA40" s="13">
        <f t="shared" si="6"/>
        <v>0</v>
      </c>
      <c r="AB40" s="13">
        <f t="shared" si="7"/>
        <v>0</v>
      </c>
      <c r="AD40" s="13">
        <v>20</v>
      </c>
      <c r="AE40" s="13">
        <f>G40*0</f>
        <v>0</v>
      </c>
      <c r="AF40" s="13">
        <f>G40*(1-0)</f>
        <v>0</v>
      </c>
    </row>
    <row r="41" spans="1:37" x14ac:dyDescent="0.25">
      <c r="A41" s="4" t="s">
        <v>29</v>
      </c>
      <c r="B41" s="4"/>
      <c r="C41" s="4" t="s">
        <v>84</v>
      </c>
      <c r="D41" s="4" t="s">
        <v>157</v>
      </c>
      <c r="E41" s="4" t="s">
        <v>211</v>
      </c>
      <c r="F41" s="13">
        <v>0.20300000000000001</v>
      </c>
      <c r="G41" s="13">
        <v>0</v>
      </c>
      <c r="H41" s="13">
        <f t="shared" si="0"/>
        <v>0</v>
      </c>
      <c r="I41" s="13">
        <f t="shared" si="1"/>
        <v>0</v>
      </c>
      <c r="J41" s="13">
        <f t="shared" si="2"/>
        <v>0</v>
      </c>
      <c r="K41" s="13">
        <v>1.0570200000000001</v>
      </c>
      <c r="L41" s="13">
        <f t="shared" si="3"/>
        <v>0.21457506000000004</v>
      </c>
      <c r="N41" s="24" t="s">
        <v>7</v>
      </c>
      <c r="O41" s="13">
        <f t="shared" si="4"/>
        <v>0</v>
      </c>
      <c r="Z41" s="13">
        <f t="shared" si="5"/>
        <v>0</v>
      </c>
      <c r="AA41" s="13">
        <f t="shared" si="6"/>
        <v>0</v>
      </c>
      <c r="AB41" s="13">
        <f t="shared" si="7"/>
        <v>0</v>
      </c>
      <c r="AD41" s="13">
        <v>20</v>
      </c>
      <c r="AE41" s="13">
        <f>G41*0.858438235543076</f>
        <v>0</v>
      </c>
      <c r="AF41" s="13">
        <f>G41*(1-0.858438235543076)</f>
        <v>0</v>
      </c>
    </row>
    <row r="42" spans="1:37" x14ac:dyDescent="0.25">
      <c r="A42" s="4" t="s">
        <v>30</v>
      </c>
      <c r="B42" s="4"/>
      <c r="C42" s="4" t="s">
        <v>85</v>
      </c>
      <c r="D42" s="4" t="s">
        <v>158</v>
      </c>
      <c r="E42" s="4" t="s">
        <v>209</v>
      </c>
      <c r="F42" s="13">
        <v>45</v>
      </c>
      <c r="G42" s="13">
        <v>0</v>
      </c>
      <c r="H42" s="13">
        <f t="shared" si="0"/>
        <v>0</v>
      </c>
      <c r="I42" s="13">
        <f t="shared" si="1"/>
        <v>0</v>
      </c>
      <c r="J42" s="13">
        <f t="shared" si="2"/>
        <v>0</v>
      </c>
      <c r="K42" s="13">
        <v>0.38794000000000001</v>
      </c>
      <c r="L42" s="13">
        <f t="shared" si="3"/>
        <v>17.4573</v>
      </c>
      <c r="N42" s="24" t="s">
        <v>9</v>
      </c>
      <c r="O42" s="13">
        <f t="shared" si="4"/>
        <v>0</v>
      </c>
      <c r="Z42" s="13">
        <f t="shared" si="5"/>
        <v>0</v>
      </c>
      <c r="AA42" s="13">
        <f t="shared" si="6"/>
        <v>0</v>
      </c>
      <c r="AB42" s="13">
        <f t="shared" si="7"/>
        <v>0</v>
      </c>
      <c r="AD42" s="13">
        <v>20</v>
      </c>
      <c r="AE42" s="13">
        <f>G42*0.355889145496536</f>
        <v>0</v>
      </c>
      <c r="AF42" s="13">
        <f>G42*(1-0.355889145496536)</f>
        <v>0</v>
      </c>
    </row>
    <row r="43" spans="1:37" x14ac:dyDescent="0.25">
      <c r="A43" s="4" t="s">
        <v>31</v>
      </c>
      <c r="B43" s="4"/>
      <c r="C43" s="4" t="s">
        <v>86</v>
      </c>
      <c r="D43" s="4" t="s">
        <v>159</v>
      </c>
      <c r="E43" s="4" t="s">
        <v>208</v>
      </c>
      <c r="F43" s="13">
        <v>8.4</v>
      </c>
      <c r="G43" s="13">
        <v>0</v>
      </c>
      <c r="H43" s="13">
        <f t="shared" si="0"/>
        <v>0</v>
      </c>
      <c r="I43" s="13">
        <f t="shared" si="1"/>
        <v>0</v>
      </c>
      <c r="J43" s="13">
        <f t="shared" si="2"/>
        <v>0</v>
      </c>
      <c r="K43" s="13">
        <v>2.4169299999999998</v>
      </c>
      <c r="L43" s="13">
        <f t="shared" si="3"/>
        <v>20.302212000000001</v>
      </c>
      <c r="N43" s="24" t="s">
        <v>7</v>
      </c>
      <c r="O43" s="13">
        <f t="shared" si="4"/>
        <v>0</v>
      </c>
      <c r="Z43" s="13">
        <f t="shared" si="5"/>
        <v>0</v>
      </c>
      <c r="AA43" s="13">
        <f t="shared" si="6"/>
        <v>0</v>
      </c>
      <c r="AB43" s="13">
        <f t="shared" si="7"/>
        <v>0</v>
      </c>
      <c r="AD43" s="13">
        <v>20</v>
      </c>
      <c r="AE43" s="13">
        <f>G43*0.927230499635272</f>
        <v>0</v>
      </c>
      <c r="AF43" s="13">
        <f>G43*(1-0.927230499635272)</f>
        <v>0</v>
      </c>
    </row>
    <row r="44" spans="1:37" x14ac:dyDescent="0.25">
      <c r="A44" s="5"/>
      <c r="B44" s="5"/>
      <c r="C44" s="11" t="s">
        <v>37</v>
      </c>
      <c r="D44" s="49" t="s">
        <v>160</v>
      </c>
      <c r="E44" s="50"/>
      <c r="F44" s="50"/>
      <c r="G44" s="50"/>
      <c r="H44" s="26">
        <f>SUM(H45:H48)</f>
        <v>0</v>
      </c>
      <c r="I44" s="26">
        <f>SUM(I45:I48)</f>
        <v>0</v>
      </c>
      <c r="J44" s="26">
        <f>H44+I44</f>
        <v>0</v>
      </c>
      <c r="K44" s="21"/>
      <c r="L44" s="26">
        <f>SUM(L45:L48)</f>
        <v>89.231515650000006</v>
      </c>
      <c r="P44" s="26">
        <f>IF(Q44="PR",J44,SUM(O45:O48))</f>
        <v>0</v>
      </c>
      <c r="Q44" s="21" t="s">
        <v>229</v>
      </c>
      <c r="R44" s="26">
        <f>IF(Q44="HS",H44,0)</f>
        <v>0</v>
      </c>
      <c r="S44" s="26">
        <f>IF(Q44="HS",I44-P44,0)</f>
        <v>0</v>
      </c>
      <c r="T44" s="26">
        <f>IF(Q44="PS",H44,0)</f>
        <v>0</v>
      </c>
      <c r="U44" s="26">
        <f>IF(Q44="PS",I44-P44,0)</f>
        <v>0</v>
      </c>
      <c r="V44" s="26">
        <f>IF(Q44="MP",H44,0)</f>
        <v>0</v>
      </c>
      <c r="W44" s="26">
        <f>IF(Q44="MP",I44-P44,0)</f>
        <v>0</v>
      </c>
      <c r="X44" s="26">
        <f>IF(Q44="OM",H44,0)</f>
        <v>0</v>
      </c>
      <c r="Y44" s="21"/>
      <c r="AI44" s="26">
        <f>SUM(Z45:Z48)</f>
        <v>0</v>
      </c>
      <c r="AJ44" s="26">
        <f>SUM(AA45:AA48)</f>
        <v>0</v>
      </c>
      <c r="AK44" s="26">
        <f>SUM(AB45:AB48)</f>
        <v>0</v>
      </c>
    </row>
    <row r="45" spans="1:37" x14ac:dyDescent="0.25">
      <c r="A45" s="4" t="s">
        <v>32</v>
      </c>
      <c r="B45" s="4"/>
      <c r="C45" s="4" t="s">
        <v>87</v>
      </c>
      <c r="D45" s="4" t="s">
        <v>161</v>
      </c>
      <c r="E45" s="4" t="s">
        <v>209</v>
      </c>
      <c r="F45" s="13">
        <v>22.12</v>
      </c>
      <c r="G45" s="13">
        <v>0</v>
      </c>
      <c r="H45" s="13">
        <f>ROUND(F45*AE45,2)</f>
        <v>0</v>
      </c>
      <c r="I45" s="13">
        <f>J45-H45</f>
        <v>0</v>
      </c>
      <c r="J45" s="13">
        <f>ROUND(F45*G45,2)</f>
        <v>0</v>
      </c>
      <c r="K45" s="13">
        <v>0.89956999999999998</v>
      </c>
      <c r="L45" s="13">
        <f>F45*K45</f>
        <v>19.898488400000002</v>
      </c>
      <c r="N45" s="24" t="s">
        <v>7</v>
      </c>
      <c r="O45" s="13">
        <f>IF(N45="5",I45,0)</f>
        <v>0</v>
      </c>
      <c r="Z45" s="13">
        <f>IF(AD45=0,J45,0)</f>
        <v>0</v>
      </c>
      <c r="AA45" s="13">
        <f>IF(AD45=14,J45,0)</f>
        <v>0</v>
      </c>
      <c r="AB45" s="13">
        <f>IF(AD45=20,J45,0)</f>
        <v>0</v>
      </c>
      <c r="AD45" s="13">
        <v>20</v>
      </c>
      <c r="AE45" s="13">
        <f>G45*0.764543000925587</f>
        <v>0</v>
      </c>
      <c r="AF45" s="13">
        <f>G45*(1-0.764543000925587)</f>
        <v>0</v>
      </c>
    </row>
    <row r="46" spans="1:37" x14ac:dyDescent="0.25">
      <c r="A46" s="4" t="s">
        <v>33</v>
      </c>
      <c r="B46" s="4"/>
      <c r="C46" s="4" t="s">
        <v>88</v>
      </c>
      <c r="D46" s="4" t="s">
        <v>162</v>
      </c>
      <c r="E46" s="4" t="s">
        <v>209</v>
      </c>
      <c r="F46" s="13">
        <v>73</v>
      </c>
      <c r="G46" s="13">
        <v>0</v>
      </c>
      <c r="H46" s="13">
        <f>ROUND(F46*AE46,2)</f>
        <v>0</v>
      </c>
      <c r="I46" s="13">
        <f>J46-H46</f>
        <v>0</v>
      </c>
      <c r="J46" s="13">
        <f>ROUND(F46*G46,2)</f>
        <v>0</v>
      </c>
      <c r="K46" s="13">
        <v>0.57762999999999998</v>
      </c>
      <c r="L46" s="13">
        <f>F46*K46</f>
        <v>42.166989999999998</v>
      </c>
      <c r="N46" s="24" t="s">
        <v>7</v>
      </c>
      <c r="O46" s="13">
        <f>IF(N46="5",I46,0)</f>
        <v>0</v>
      </c>
      <c r="Z46" s="13">
        <f>IF(AD46=0,J46,0)</f>
        <v>0</v>
      </c>
      <c r="AA46" s="13">
        <f>IF(AD46=14,J46,0)</f>
        <v>0</v>
      </c>
      <c r="AB46" s="13">
        <f>IF(AD46=20,J46,0)</f>
        <v>0</v>
      </c>
      <c r="AD46" s="13">
        <v>20</v>
      </c>
      <c r="AE46" s="13">
        <f>G46*0.591981785602128</f>
        <v>0</v>
      </c>
      <c r="AF46" s="13">
        <f>G46*(1-0.591981785602128)</f>
        <v>0</v>
      </c>
    </row>
    <row r="47" spans="1:37" x14ac:dyDescent="0.25">
      <c r="A47" s="4" t="s">
        <v>34</v>
      </c>
      <c r="B47" s="4"/>
      <c r="C47" s="4" t="s">
        <v>89</v>
      </c>
      <c r="D47" s="4" t="s">
        <v>163</v>
      </c>
      <c r="E47" s="4" t="s">
        <v>211</v>
      </c>
      <c r="F47" s="13">
        <v>1.0649999999999999</v>
      </c>
      <c r="G47" s="13">
        <v>0</v>
      </c>
      <c r="H47" s="13">
        <f>ROUND(F47*AE47,2)</f>
        <v>0</v>
      </c>
      <c r="I47" s="13">
        <f>J47-H47</f>
        <v>0</v>
      </c>
      <c r="J47" s="13">
        <f>ROUND(F47*G47,2)</f>
        <v>0</v>
      </c>
      <c r="K47" s="13">
        <v>1.02505</v>
      </c>
      <c r="L47" s="13">
        <f>F47*K47</f>
        <v>1.09167825</v>
      </c>
      <c r="N47" s="24" t="s">
        <v>7</v>
      </c>
      <c r="O47" s="13">
        <f>IF(N47="5",I47,0)</f>
        <v>0</v>
      </c>
      <c r="Z47" s="13">
        <f>IF(AD47=0,J47,0)</f>
        <v>0</v>
      </c>
      <c r="AA47" s="13">
        <f>IF(AD47=14,J47,0)</f>
        <v>0</v>
      </c>
      <c r="AB47" s="13">
        <f>IF(AD47=20,J47,0)</f>
        <v>0</v>
      </c>
      <c r="AD47" s="13">
        <v>20</v>
      </c>
      <c r="AE47" s="13">
        <f>G47*0.711729231090085</f>
        <v>0</v>
      </c>
      <c r="AF47" s="13">
        <f>G47*(1-0.711729231090085)</f>
        <v>0</v>
      </c>
    </row>
    <row r="48" spans="1:37" x14ac:dyDescent="0.25">
      <c r="A48" s="4" t="s">
        <v>35</v>
      </c>
      <c r="B48" s="4"/>
      <c r="C48" s="4" t="s">
        <v>90</v>
      </c>
      <c r="D48" s="4" t="s">
        <v>164</v>
      </c>
      <c r="E48" s="4" t="s">
        <v>208</v>
      </c>
      <c r="F48" s="13">
        <v>10.95</v>
      </c>
      <c r="G48" s="13">
        <v>0</v>
      </c>
      <c r="H48" s="13">
        <f>ROUND(F48*AE48,2)</f>
        <v>0</v>
      </c>
      <c r="I48" s="13">
        <f>J48-H48</f>
        <v>0</v>
      </c>
      <c r="J48" s="13">
        <f>ROUND(F48*G48,2)</f>
        <v>0</v>
      </c>
      <c r="K48" s="13">
        <v>2.3812199999999999</v>
      </c>
      <c r="L48" s="13">
        <f>F48*K48</f>
        <v>26.074358999999998</v>
      </c>
      <c r="N48" s="24" t="s">
        <v>7</v>
      </c>
      <c r="O48" s="13">
        <f>IF(N48="5",I48,0)</f>
        <v>0</v>
      </c>
      <c r="Z48" s="13">
        <f>IF(AD48=0,J48,0)</f>
        <v>0</v>
      </c>
      <c r="AA48" s="13">
        <f>IF(AD48=14,J48,0)</f>
        <v>0</v>
      </c>
      <c r="AB48" s="13">
        <f>IF(AD48=20,J48,0)</f>
        <v>0</v>
      </c>
      <c r="AD48" s="13">
        <v>20</v>
      </c>
      <c r="AE48" s="13">
        <f>G48*0.880960792743401</f>
        <v>0</v>
      </c>
      <c r="AF48" s="13">
        <f>G48*(1-0.880960792743401)</f>
        <v>0</v>
      </c>
    </row>
    <row r="49" spans="1:37" x14ac:dyDescent="0.25">
      <c r="A49" s="5"/>
      <c r="B49" s="5"/>
      <c r="C49" s="11" t="s">
        <v>39</v>
      </c>
      <c r="D49" s="49" t="s">
        <v>165</v>
      </c>
      <c r="E49" s="50"/>
      <c r="F49" s="50"/>
      <c r="G49" s="50"/>
      <c r="H49" s="26">
        <f>SUM(H50:H51)</f>
        <v>0</v>
      </c>
      <c r="I49" s="26">
        <f>SUM(I50:I51)</f>
        <v>0</v>
      </c>
      <c r="J49" s="26">
        <f>H49+I49</f>
        <v>0</v>
      </c>
      <c r="K49" s="21"/>
      <c r="L49" s="26">
        <f>SUM(L50:L51)</f>
        <v>12.64066</v>
      </c>
      <c r="P49" s="26">
        <f>IF(Q49="PR",J49,SUM(O50:O51))</f>
        <v>0</v>
      </c>
      <c r="Q49" s="21" t="s">
        <v>229</v>
      </c>
      <c r="R49" s="26">
        <f>IF(Q49="HS",H49,0)</f>
        <v>0</v>
      </c>
      <c r="S49" s="26">
        <f>IF(Q49="HS",I49-P49,0)</f>
        <v>0</v>
      </c>
      <c r="T49" s="26">
        <f>IF(Q49="PS",H49,0)</f>
        <v>0</v>
      </c>
      <c r="U49" s="26">
        <f>IF(Q49="PS",I49-P49,0)</f>
        <v>0</v>
      </c>
      <c r="V49" s="26">
        <f>IF(Q49="MP",H49,0)</f>
        <v>0</v>
      </c>
      <c r="W49" s="26">
        <f>IF(Q49="MP",I49-P49,0)</f>
        <v>0</v>
      </c>
      <c r="X49" s="26">
        <f>IF(Q49="OM",H49,0)</f>
        <v>0</v>
      </c>
      <c r="Y49" s="21"/>
      <c r="AI49" s="26">
        <f>SUM(Z50:Z51)</f>
        <v>0</v>
      </c>
      <c r="AJ49" s="26">
        <f>SUM(AA50:AA51)</f>
        <v>0</v>
      </c>
      <c r="AK49" s="26">
        <f>SUM(AB50:AB51)</f>
        <v>0</v>
      </c>
    </row>
    <row r="50" spans="1:37" x14ac:dyDescent="0.25">
      <c r="A50" s="4" t="s">
        <v>36</v>
      </c>
      <c r="B50" s="4"/>
      <c r="C50" s="4" t="s">
        <v>91</v>
      </c>
      <c r="D50" s="4" t="s">
        <v>166</v>
      </c>
      <c r="E50" s="4" t="s">
        <v>207</v>
      </c>
      <c r="F50" s="13">
        <v>41</v>
      </c>
      <c r="G50" s="13">
        <v>0</v>
      </c>
      <c r="H50" s="13">
        <f>ROUND(F50*AE50,2)</f>
        <v>0</v>
      </c>
      <c r="I50" s="13">
        <f>J50-H50</f>
        <v>0</v>
      </c>
      <c r="J50" s="13">
        <f>ROUND(F50*G50,2)</f>
        <v>0</v>
      </c>
      <c r="K50" s="13">
        <v>0.1832</v>
      </c>
      <c r="L50" s="13">
        <f>F50*K50</f>
        <v>7.5111999999999997</v>
      </c>
      <c r="N50" s="24" t="s">
        <v>7</v>
      </c>
      <c r="O50" s="13">
        <f>IF(N50="5",I50,0)</f>
        <v>0</v>
      </c>
      <c r="Z50" s="13">
        <f>IF(AD50=0,J50,0)</f>
        <v>0</v>
      </c>
      <c r="AA50" s="13">
        <f>IF(AD50=14,J50,0)</f>
        <v>0</v>
      </c>
      <c r="AB50" s="13">
        <f>IF(AD50=20,J50,0)</f>
        <v>0</v>
      </c>
      <c r="AD50" s="13">
        <v>20</v>
      </c>
      <c r="AE50" s="13">
        <f>G50*0.53522524310379</f>
        <v>0</v>
      </c>
      <c r="AF50" s="13">
        <f>G50*(1-0.53522524310379)</f>
        <v>0</v>
      </c>
    </row>
    <row r="51" spans="1:37" x14ac:dyDescent="0.25">
      <c r="A51" s="4" t="s">
        <v>37</v>
      </c>
      <c r="B51" s="4"/>
      <c r="C51" s="4" t="s">
        <v>92</v>
      </c>
      <c r="D51" s="4" t="s">
        <v>167</v>
      </c>
      <c r="E51" s="4" t="s">
        <v>207</v>
      </c>
      <c r="F51" s="13">
        <v>14</v>
      </c>
      <c r="G51" s="13">
        <v>0</v>
      </c>
      <c r="H51" s="13">
        <f>ROUND(F51*AE51,2)</f>
        <v>0</v>
      </c>
      <c r="I51" s="13">
        <f>J51-H51</f>
        <v>0</v>
      </c>
      <c r="J51" s="13">
        <f>ROUND(F51*G51,2)</f>
        <v>0</v>
      </c>
      <c r="K51" s="13">
        <v>0.36638999999999999</v>
      </c>
      <c r="L51" s="13">
        <f>F51*K51</f>
        <v>5.1294599999999999</v>
      </c>
      <c r="N51" s="24" t="s">
        <v>7</v>
      </c>
      <c r="O51" s="13">
        <f>IF(N51="5",I51,0)</f>
        <v>0</v>
      </c>
      <c r="Z51" s="13">
        <f>IF(AD51=0,J51,0)</f>
        <v>0</v>
      </c>
      <c r="AA51" s="13">
        <f>IF(AD51=14,J51,0)</f>
        <v>0</v>
      </c>
      <c r="AB51" s="13">
        <f>IF(AD51=20,J51,0)</f>
        <v>0</v>
      </c>
      <c r="AD51" s="13">
        <v>20</v>
      </c>
      <c r="AE51" s="13">
        <f>G51*0.735445611657065</f>
        <v>0</v>
      </c>
      <c r="AF51" s="13">
        <f>G51*(1-0.735445611657065)</f>
        <v>0</v>
      </c>
    </row>
    <row r="52" spans="1:37" x14ac:dyDescent="0.25">
      <c r="A52" s="5"/>
      <c r="B52" s="5"/>
      <c r="C52" s="11" t="s">
        <v>47</v>
      </c>
      <c r="D52" s="49" t="s">
        <v>168</v>
      </c>
      <c r="E52" s="50"/>
      <c r="F52" s="50"/>
      <c r="G52" s="50"/>
      <c r="H52" s="26">
        <f>SUM(H53:H56)</f>
        <v>0</v>
      </c>
      <c r="I52" s="26">
        <f>SUM(I53:I56)</f>
        <v>0</v>
      </c>
      <c r="J52" s="26">
        <f>H52+I52</f>
        <v>0</v>
      </c>
      <c r="K52" s="21"/>
      <c r="L52" s="26">
        <f>SUM(L53:L56)</f>
        <v>8.4080876500000024</v>
      </c>
      <c r="P52" s="26">
        <f>IF(Q52="PR",J52,SUM(O53:O56))</f>
        <v>0</v>
      </c>
      <c r="Q52" s="21" t="s">
        <v>229</v>
      </c>
      <c r="R52" s="26">
        <f>IF(Q52="HS",H52,0)</f>
        <v>0</v>
      </c>
      <c r="S52" s="26">
        <f>IF(Q52="HS",I52-P52,0)</f>
        <v>0</v>
      </c>
      <c r="T52" s="26">
        <f>IF(Q52="PS",H52,0)</f>
        <v>0</v>
      </c>
      <c r="U52" s="26">
        <f>IF(Q52="PS",I52-P52,0)</f>
        <v>0</v>
      </c>
      <c r="V52" s="26">
        <f>IF(Q52="MP",H52,0)</f>
        <v>0</v>
      </c>
      <c r="W52" s="26">
        <f>IF(Q52="MP",I52-P52,0)</f>
        <v>0</v>
      </c>
      <c r="X52" s="26">
        <f>IF(Q52="OM",H52,0)</f>
        <v>0</v>
      </c>
      <c r="Y52" s="21"/>
      <c r="AI52" s="26">
        <f>SUM(Z53:Z56)</f>
        <v>0</v>
      </c>
      <c r="AJ52" s="26">
        <f>SUM(AA53:AA56)</f>
        <v>0</v>
      </c>
      <c r="AK52" s="26">
        <f>SUM(AB53:AB56)</f>
        <v>0</v>
      </c>
    </row>
    <row r="53" spans="1:37" x14ac:dyDescent="0.25">
      <c r="A53" s="4" t="s">
        <v>38</v>
      </c>
      <c r="B53" s="4"/>
      <c r="C53" s="4" t="s">
        <v>93</v>
      </c>
      <c r="D53" s="4" t="s">
        <v>169</v>
      </c>
      <c r="E53" s="4" t="s">
        <v>209</v>
      </c>
      <c r="F53" s="13">
        <v>5.9</v>
      </c>
      <c r="G53" s="13">
        <v>0</v>
      </c>
      <c r="H53" s="13">
        <f>ROUND(F53*AE53,2)</f>
        <v>0</v>
      </c>
      <c r="I53" s="13">
        <f>J53-H53</f>
        <v>0</v>
      </c>
      <c r="J53" s="13">
        <f>ROUND(F53*G53,2)</f>
        <v>0</v>
      </c>
      <c r="K53" s="13">
        <v>7.9500000000000005E-3</v>
      </c>
      <c r="L53" s="13">
        <f>F53*K53</f>
        <v>4.6905000000000002E-2</v>
      </c>
      <c r="N53" s="24" t="s">
        <v>7</v>
      </c>
      <c r="O53" s="13">
        <f>IF(N53="5",I53,0)</f>
        <v>0</v>
      </c>
      <c r="Z53" s="13">
        <f>IF(AD53=0,J53,0)</f>
        <v>0</v>
      </c>
      <c r="AA53" s="13">
        <f>IF(AD53=14,J53,0)</f>
        <v>0</v>
      </c>
      <c r="AB53" s="13">
        <f>IF(AD53=20,J53,0)</f>
        <v>0</v>
      </c>
      <c r="AD53" s="13">
        <v>20</v>
      </c>
      <c r="AE53" s="13">
        <f>G53*0.306590724165989</f>
        <v>0</v>
      </c>
      <c r="AF53" s="13">
        <f>G53*(1-0.306590724165989)</f>
        <v>0</v>
      </c>
    </row>
    <row r="54" spans="1:37" x14ac:dyDescent="0.25">
      <c r="A54" s="4" t="s">
        <v>39</v>
      </c>
      <c r="B54" s="4"/>
      <c r="C54" s="4" t="s">
        <v>94</v>
      </c>
      <c r="D54" s="4" t="s">
        <v>170</v>
      </c>
      <c r="E54" s="4" t="s">
        <v>209</v>
      </c>
      <c r="F54" s="13">
        <v>5.9</v>
      </c>
      <c r="G54" s="13">
        <v>0</v>
      </c>
      <c r="H54" s="13">
        <f>ROUND(F54*AE54,2)</f>
        <v>0</v>
      </c>
      <c r="I54" s="13">
        <f>J54-H54</f>
        <v>0</v>
      </c>
      <c r="J54" s="13">
        <f>ROUND(F54*G54,2)</f>
        <v>0</v>
      </c>
      <c r="K54" s="13">
        <v>0</v>
      </c>
      <c r="L54" s="13">
        <f>F54*K54</f>
        <v>0</v>
      </c>
      <c r="N54" s="24" t="s">
        <v>7</v>
      </c>
      <c r="O54" s="13">
        <f>IF(N54="5",I54,0)</f>
        <v>0</v>
      </c>
      <c r="Z54" s="13">
        <f>IF(AD54=0,J54,0)</f>
        <v>0</v>
      </c>
      <c r="AA54" s="13">
        <f>IF(AD54=14,J54,0)</f>
        <v>0</v>
      </c>
      <c r="AB54" s="13">
        <f>IF(AD54=20,J54,0)</f>
        <v>0</v>
      </c>
      <c r="AD54" s="13">
        <v>20</v>
      </c>
      <c r="AE54" s="13">
        <f>G54*0</f>
        <v>0</v>
      </c>
      <c r="AF54" s="13">
        <f>G54*(1-0)</f>
        <v>0</v>
      </c>
    </row>
    <row r="55" spans="1:37" x14ac:dyDescent="0.25">
      <c r="A55" s="4" t="s">
        <v>40</v>
      </c>
      <c r="B55" s="4"/>
      <c r="C55" s="4" t="s">
        <v>95</v>
      </c>
      <c r="D55" s="4" t="s">
        <v>171</v>
      </c>
      <c r="E55" s="4" t="s">
        <v>208</v>
      </c>
      <c r="F55" s="13">
        <v>3.2450000000000001</v>
      </c>
      <c r="G55" s="13">
        <v>0</v>
      </c>
      <c r="H55" s="13">
        <f>ROUND(F55*AE55,2)</f>
        <v>0</v>
      </c>
      <c r="I55" s="13">
        <f>J55-H55</f>
        <v>0</v>
      </c>
      <c r="J55" s="13">
        <f>ROUND(F55*G55,2)</f>
        <v>0</v>
      </c>
      <c r="K55" s="13">
        <v>2.5251700000000001</v>
      </c>
      <c r="L55" s="13">
        <f>F55*K55</f>
        <v>8.1941766500000011</v>
      </c>
      <c r="N55" s="24" t="s">
        <v>7</v>
      </c>
      <c r="O55" s="13">
        <f>IF(N55="5",I55,0)</f>
        <v>0</v>
      </c>
      <c r="Z55" s="13">
        <f>IF(AD55=0,J55,0)</f>
        <v>0</v>
      </c>
      <c r="AA55" s="13">
        <f>IF(AD55=14,J55,0)</f>
        <v>0</v>
      </c>
      <c r="AB55" s="13">
        <f>IF(AD55=20,J55,0)</f>
        <v>0</v>
      </c>
      <c r="AD55" s="13">
        <v>20</v>
      </c>
      <c r="AE55" s="13">
        <f>G55*0.874216288327212</f>
        <v>0</v>
      </c>
      <c r="AF55" s="13">
        <f>G55*(1-0.874216288327212)</f>
        <v>0</v>
      </c>
    </row>
    <row r="56" spans="1:37" x14ac:dyDescent="0.25">
      <c r="A56" s="4" t="s">
        <v>41</v>
      </c>
      <c r="B56" s="4"/>
      <c r="C56" s="4" t="s">
        <v>96</v>
      </c>
      <c r="D56" s="4" t="s">
        <v>172</v>
      </c>
      <c r="E56" s="4" t="s">
        <v>211</v>
      </c>
      <c r="F56" s="13">
        <v>0.158</v>
      </c>
      <c r="G56" s="13">
        <v>0</v>
      </c>
      <c r="H56" s="13">
        <f>ROUND(F56*AE56,2)</f>
        <v>0</v>
      </c>
      <c r="I56" s="13">
        <f>J56-H56</f>
        <v>0</v>
      </c>
      <c r="J56" s="13">
        <f>ROUND(F56*G56,2)</f>
        <v>0</v>
      </c>
      <c r="K56" s="13">
        <v>1.0569999999999999</v>
      </c>
      <c r="L56" s="13">
        <f>F56*K56</f>
        <v>0.16700599999999999</v>
      </c>
      <c r="N56" s="24" t="s">
        <v>7</v>
      </c>
      <c r="O56" s="13">
        <f>IF(N56="5",I56,0)</f>
        <v>0</v>
      </c>
      <c r="Z56" s="13">
        <f>IF(AD56=0,J56,0)</f>
        <v>0</v>
      </c>
      <c r="AA56" s="13">
        <f>IF(AD56=14,J56,0)</f>
        <v>0</v>
      </c>
      <c r="AB56" s="13">
        <f>IF(AD56=20,J56,0)</f>
        <v>0</v>
      </c>
      <c r="AD56" s="13">
        <v>20</v>
      </c>
      <c r="AE56" s="13">
        <f>G56*0.856509945816185</f>
        <v>0</v>
      </c>
      <c r="AF56" s="13">
        <f>G56*(1-0.856509945816185)</f>
        <v>0</v>
      </c>
    </row>
    <row r="57" spans="1:37" x14ac:dyDescent="0.25">
      <c r="A57" s="5"/>
      <c r="B57" s="5"/>
      <c r="C57" s="11" t="s">
        <v>97</v>
      </c>
      <c r="D57" s="49" t="s">
        <v>173</v>
      </c>
      <c r="E57" s="50"/>
      <c r="F57" s="50"/>
      <c r="G57" s="50"/>
      <c r="H57" s="26">
        <f>SUM(H58:H61)</f>
        <v>0</v>
      </c>
      <c r="I57" s="26">
        <f>SUM(I58:I61)</f>
        <v>0</v>
      </c>
      <c r="J57" s="26">
        <f>H57+I57</f>
        <v>0</v>
      </c>
      <c r="K57" s="21"/>
      <c r="L57" s="26">
        <f>SUM(L58:L61)</f>
        <v>537.79634820000001</v>
      </c>
      <c r="P57" s="26">
        <f>IF(Q57="PR",J57,SUM(O58:O61))</f>
        <v>0</v>
      </c>
      <c r="Q57" s="21" t="s">
        <v>229</v>
      </c>
      <c r="R57" s="26">
        <f>IF(Q57="HS",H57,0)</f>
        <v>0</v>
      </c>
      <c r="S57" s="26">
        <f>IF(Q57="HS",I57-P57,0)</f>
        <v>0</v>
      </c>
      <c r="T57" s="26">
        <f>IF(Q57="PS",H57,0)</f>
        <v>0</v>
      </c>
      <c r="U57" s="26">
        <f>IF(Q57="PS",I57-P57,0)</f>
        <v>0</v>
      </c>
      <c r="V57" s="26">
        <f>IF(Q57="MP",H57,0)</f>
        <v>0</v>
      </c>
      <c r="W57" s="26">
        <f>IF(Q57="MP",I57-P57,0)</f>
        <v>0</v>
      </c>
      <c r="X57" s="26">
        <f>IF(Q57="OM",H57,0)</f>
        <v>0</v>
      </c>
      <c r="Y57" s="21"/>
      <c r="AI57" s="26">
        <f>SUM(Z58:Z61)</f>
        <v>0</v>
      </c>
      <c r="AJ57" s="26">
        <f>SUM(AA58:AA61)</f>
        <v>0</v>
      </c>
      <c r="AK57" s="26">
        <f>SUM(AB58:AB61)</f>
        <v>0</v>
      </c>
    </row>
    <row r="58" spans="1:37" x14ac:dyDescent="0.25">
      <c r="A58" s="4" t="s">
        <v>42</v>
      </c>
      <c r="B58" s="4"/>
      <c r="C58" s="4" t="s">
        <v>98</v>
      </c>
      <c r="D58" s="4" t="s">
        <v>174</v>
      </c>
      <c r="E58" s="4" t="s">
        <v>209</v>
      </c>
      <c r="F58" s="13">
        <v>1306.58</v>
      </c>
      <c r="G58" s="13">
        <v>0</v>
      </c>
      <c r="H58" s="13">
        <f>ROUND(F58*AE58,2)</f>
        <v>0</v>
      </c>
      <c r="I58" s="13">
        <f>J58-H58</f>
        <v>0</v>
      </c>
      <c r="J58" s="13">
        <f>ROUND(F58*G58,2)</f>
        <v>0</v>
      </c>
      <c r="K58" s="13">
        <v>0.30360999999999999</v>
      </c>
      <c r="L58" s="13">
        <f>F58*K58</f>
        <v>396.69075379999998</v>
      </c>
      <c r="N58" s="24" t="s">
        <v>7</v>
      </c>
      <c r="O58" s="13">
        <f>IF(N58="5",I58,0)</f>
        <v>0</v>
      </c>
      <c r="Z58" s="13">
        <f>IF(AD58=0,J58,0)</f>
        <v>0</v>
      </c>
      <c r="AA58" s="13">
        <f>IF(AD58=14,J58,0)</f>
        <v>0</v>
      </c>
      <c r="AB58" s="13">
        <f>IF(AD58=20,J58,0)</f>
        <v>0</v>
      </c>
      <c r="AD58" s="13">
        <v>20</v>
      </c>
      <c r="AE58" s="13">
        <f>G58*0.847254536993951</f>
        <v>0</v>
      </c>
      <c r="AF58" s="13">
        <f>G58*(1-0.847254536993951)</f>
        <v>0</v>
      </c>
    </row>
    <row r="59" spans="1:37" x14ac:dyDescent="0.25">
      <c r="A59" s="4" t="s">
        <v>43</v>
      </c>
      <c r="B59" s="4"/>
      <c r="C59" s="4" t="s">
        <v>99</v>
      </c>
      <c r="D59" s="4" t="s">
        <v>175</v>
      </c>
      <c r="E59" s="4" t="s">
        <v>209</v>
      </c>
      <c r="F59" s="13">
        <v>235.92</v>
      </c>
      <c r="G59" s="13">
        <v>0</v>
      </c>
      <c r="H59" s="13">
        <f>ROUND(F59*AE59,2)</f>
        <v>0</v>
      </c>
      <c r="I59" s="13">
        <f>J59-H59</f>
        <v>0</v>
      </c>
      <c r="J59" s="13">
        <f>ROUND(F59*G59,2)</f>
        <v>0</v>
      </c>
      <c r="K59" s="13">
        <v>0.24288000000000001</v>
      </c>
      <c r="L59" s="13">
        <f>F59*K59</f>
        <v>57.300249600000001</v>
      </c>
      <c r="N59" s="24" t="s">
        <v>7</v>
      </c>
      <c r="O59" s="13">
        <f>IF(N59="5",I59,0)</f>
        <v>0</v>
      </c>
      <c r="Z59" s="13">
        <f>IF(AD59=0,J59,0)</f>
        <v>0</v>
      </c>
      <c r="AA59" s="13">
        <f>IF(AD59=14,J59,0)</f>
        <v>0</v>
      </c>
      <c r="AB59" s="13">
        <f>IF(AD59=20,J59,0)</f>
        <v>0</v>
      </c>
      <c r="AD59" s="13">
        <v>20</v>
      </c>
      <c r="AE59" s="13">
        <f>G59*0.817569463934886</f>
        <v>0</v>
      </c>
      <c r="AF59" s="13">
        <f>G59*(1-0.817569463934886)</f>
        <v>0</v>
      </c>
    </row>
    <row r="60" spans="1:37" x14ac:dyDescent="0.25">
      <c r="A60" s="4" t="s">
        <v>44</v>
      </c>
      <c r="B60" s="4"/>
      <c r="C60" s="4" t="s">
        <v>100</v>
      </c>
      <c r="D60" s="4" t="s">
        <v>176</v>
      </c>
      <c r="E60" s="4" t="s">
        <v>209</v>
      </c>
      <c r="F60" s="13">
        <v>177.04</v>
      </c>
      <c r="G60" s="13">
        <v>0</v>
      </c>
      <c r="H60" s="13">
        <f>ROUND(F60*AE60,2)</f>
        <v>0</v>
      </c>
      <c r="I60" s="13">
        <f>J60-H60</f>
        <v>0</v>
      </c>
      <c r="J60" s="13">
        <f>ROUND(F60*G60,2)</f>
        <v>0</v>
      </c>
      <c r="K60" s="13">
        <v>0.15508</v>
      </c>
      <c r="L60" s="13">
        <f>F60*K60</f>
        <v>27.455363199999997</v>
      </c>
      <c r="N60" s="24" t="s">
        <v>7</v>
      </c>
      <c r="O60" s="13">
        <f>IF(N60="5",I60,0)</f>
        <v>0</v>
      </c>
      <c r="Z60" s="13">
        <f>IF(AD60=0,J60,0)</f>
        <v>0</v>
      </c>
      <c r="AA60" s="13">
        <f>IF(AD60=14,J60,0)</f>
        <v>0</v>
      </c>
      <c r="AB60" s="13">
        <f>IF(AD60=20,J60,0)</f>
        <v>0</v>
      </c>
      <c r="AD60" s="13">
        <v>20</v>
      </c>
      <c r="AE60" s="13">
        <f>G60*0.790944372574386</f>
        <v>0</v>
      </c>
      <c r="AF60" s="13">
        <f>G60*(1-0.790944372574386)</f>
        <v>0</v>
      </c>
    </row>
    <row r="61" spans="1:37" x14ac:dyDescent="0.25">
      <c r="A61" s="4" t="s">
        <v>45</v>
      </c>
      <c r="B61" s="4"/>
      <c r="C61" s="4" t="s">
        <v>101</v>
      </c>
      <c r="D61" s="4" t="s">
        <v>177</v>
      </c>
      <c r="E61" s="4" t="s">
        <v>209</v>
      </c>
      <c r="F61" s="13">
        <v>172.04</v>
      </c>
      <c r="G61" s="13">
        <v>0</v>
      </c>
      <c r="H61" s="13">
        <f>ROUND(F61*AE61,2)</f>
        <v>0</v>
      </c>
      <c r="I61" s="13">
        <f>J61-H61</f>
        <v>0</v>
      </c>
      <c r="J61" s="13">
        <f>ROUND(F61*G61,2)</f>
        <v>0</v>
      </c>
      <c r="K61" s="13">
        <v>0.32754</v>
      </c>
      <c r="L61" s="13">
        <f>F61*K61</f>
        <v>56.3499816</v>
      </c>
      <c r="N61" s="24" t="s">
        <v>7</v>
      </c>
      <c r="O61" s="13">
        <f>IF(N61="5",I61,0)</f>
        <v>0</v>
      </c>
      <c r="Z61" s="13">
        <f>IF(AD61=0,J61,0)</f>
        <v>0</v>
      </c>
      <c r="AA61" s="13">
        <f>IF(AD61=14,J61,0)</f>
        <v>0</v>
      </c>
      <c r="AB61" s="13">
        <f>IF(AD61=20,J61,0)</f>
        <v>0</v>
      </c>
      <c r="AD61" s="13">
        <v>20</v>
      </c>
      <c r="AE61" s="13">
        <f>G61*0.845147621021602</f>
        <v>0</v>
      </c>
      <c r="AF61" s="13">
        <f>G61*(1-0.845147621021602)</f>
        <v>0</v>
      </c>
    </row>
    <row r="62" spans="1:37" x14ac:dyDescent="0.25">
      <c r="A62" s="5"/>
      <c r="B62" s="5"/>
      <c r="C62" s="11" t="s">
        <v>102</v>
      </c>
      <c r="D62" s="49" t="s">
        <v>178</v>
      </c>
      <c r="E62" s="50"/>
      <c r="F62" s="50"/>
      <c r="G62" s="50"/>
      <c r="H62" s="26">
        <f>SUM(H63:H65)</f>
        <v>0</v>
      </c>
      <c r="I62" s="26">
        <f>SUM(I63:I65)</f>
        <v>0</v>
      </c>
      <c r="J62" s="26">
        <f>H62+I62</f>
        <v>0</v>
      </c>
      <c r="K62" s="21"/>
      <c r="L62" s="26">
        <f>SUM(L63:L65)</f>
        <v>38.992034599999997</v>
      </c>
      <c r="P62" s="26">
        <f>IF(Q62="PR",J62,SUM(O63:O65))</f>
        <v>0</v>
      </c>
      <c r="Q62" s="21" t="s">
        <v>229</v>
      </c>
      <c r="R62" s="26">
        <f>IF(Q62="HS",H62,0)</f>
        <v>0</v>
      </c>
      <c r="S62" s="26">
        <f>IF(Q62="HS",I62-P62,0)</f>
        <v>0</v>
      </c>
      <c r="T62" s="26">
        <f>IF(Q62="PS",H62,0)</f>
        <v>0</v>
      </c>
      <c r="U62" s="26">
        <f>IF(Q62="PS",I62-P62,0)</f>
        <v>0</v>
      </c>
      <c r="V62" s="26">
        <f>IF(Q62="MP",H62,0)</f>
        <v>0</v>
      </c>
      <c r="W62" s="26">
        <f>IF(Q62="MP",I62-P62,0)</f>
        <v>0</v>
      </c>
      <c r="X62" s="26">
        <f>IF(Q62="OM",H62,0)</f>
        <v>0</v>
      </c>
      <c r="Y62" s="21"/>
      <c r="AI62" s="26">
        <f>SUM(Z63:Z65)</f>
        <v>0</v>
      </c>
      <c r="AJ62" s="26">
        <f>SUM(AA63:AA65)</f>
        <v>0</v>
      </c>
      <c r="AK62" s="26">
        <f>SUM(AB63:AB65)</f>
        <v>0</v>
      </c>
    </row>
    <row r="63" spans="1:37" x14ac:dyDescent="0.25">
      <c r="A63" s="4" t="s">
        <v>46</v>
      </c>
      <c r="B63" s="4"/>
      <c r="C63" s="4" t="s">
        <v>103</v>
      </c>
      <c r="D63" s="4" t="s">
        <v>179</v>
      </c>
      <c r="E63" s="4" t="s">
        <v>209</v>
      </c>
      <c r="F63" s="13">
        <v>583.65</v>
      </c>
      <c r="G63" s="13">
        <v>0</v>
      </c>
      <c r="H63" s="13">
        <f>ROUND(F63*AE63,2)</f>
        <v>0</v>
      </c>
      <c r="I63" s="13">
        <f>J63-H63</f>
        <v>0</v>
      </c>
      <c r="J63" s="13">
        <f>ROUND(F63*G63,2)</f>
        <v>0</v>
      </c>
      <c r="K63" s="13">
        <v>3.6940000000000001E-2</v>
      </c>
      <c r="L63" s="13">
        <f>F63*K63</f>
        <v>21.560030999999999</v>
      </c>
      <c r="N63" s="24" t="s">
        <v>7</v>
      </c>
      <c r="O63" s="13">
        <f>IF(N63="5",I63,0)</f>
        <v>0</v>
      </c>
      <c r="Z63" s="13">
        <f>IF(AD63=0,J63,0)</f>
        <v>0</v>
      </c>
      <c r="AA63" s="13">
        <f>IF(AD63=14,J63,0)</f>
        <v>0</v>
      </c>
      <c r="AB63" s="13">
        <f>IF(AD63=20,J63,0)</f>
        <v>0</v>
      </c>
      <c r="AD63" s="13">
        <v>20</v>
      </c>
      <c r="AE63" s="13">
        <f>G63*0.704639175257732</f>
        <v>0</v>
      </c>
      <c r="AF63" s="13">
        <f>G63*(1-0.704639175257732)</f>
        <v>0</v>
      </c>
    </row>
    <row r="64" spans="1:37" x14ac:dyDescent="0.25">
      <c r="A64" s="4" t="s">
        <v>47</v>
      </c>
      <c r="B64" s="4"/>
      <c r="C64" s="4" t="s">
        <v>104</v>
      </c>
      <c r="D64" s="4" t="s">
        <v>180</v>
      </c>
      <c r="E64" s="4" t="s">
        <v>209</v>
      </c>
      <c r="F64" s="13">
        <v>172.04</v>
      </c>
      <c r="G64" s="13">
        <v>0</v>
      </c>
      <c r="H64" s="13">
        <f>ROUND(F64*AE64,2)</f>
        <v>0</v>
      </c>
      <c r="I64" s="13">
        <f>J64-H64</f>
        <v>0</v>
      </c>
      <c r="J64" s="13">
        <f>ROUND(F64*G64,2)</f>
        <v>0</v>
      </c>
      <c r="K64" s="13">
        <v>6.0999999999999997E-4</v>
      </c>
      <c r="L64" s="13">
        <f>F64*K64</f>
        <v>0.10494439999999999</v>
      </c>
      <c r="N64" s="24" t="s">
        <v>7</v>
      </c>
      <c r="O64" s="13">
        <f>IF(N64="5",I64,0)</f>
        <v>0</v>
      </c>
      <c r="Z64" s="13">
        <f>IF(AD64=0,J64,0)</f>
        <v>0</v>
      </c>
      <c r="AA64" s="13">
        <f>IF(AD64=14,J64,0)</f>
        <v>0</v>
      </c>
      <c r="AB64" s="13">
        <f>IF(AD64=20,J64,0)</f>
        <v>0</v>
      </c>
      <c r="AD64" s="13">
        <v>20</v>
      </c>
      <c r="AE64" s="13">
        <f>G64*0.914518317503392</f>
        <v>0</v>
      </c>
      <c r="AF64" s="13">
        <f>G64*(1-0.914518317503392)</f>
        <v>0</v>
      </c>
    </row>
    <row r="65" spans="1:37" x14ac:dyDescent="0.25">
      <c r="A65" s="4" t="s">
        <v>48</v>
      </c>
      <c r="B65" s="4"/>
      <c r="C65" s="4" t="s">
        <v>105</v>
      </c>
      <c r="D65" s="4" t="s">
        <v>181</v>
      </c>
      <c r="E65" s="4" t="s">
        <v>209</v>
      </c>
      <c r="F65" s="13">
        <v>167.04</v>
      </c>
      <c r="G65" s="13">
        <v>0</v>
      </c>
      <c r="H65" s="13">
        <f>ROUND(F65*AE65,2)</f>
        <v>0</v>
      </c>
      <c r="I65" s="13">
        <f>J65-H65</f>
        <v>0</v>
      </c>
      <c r="J65" s="13">
        <f>ROUND(F65*G65,2)</f>
        <v>0</v>
      </c>
      <c r="K65" s="13">
        <v>0.10373</v>
      </c>
      <c r="L65" s="13">
        <f>F65*K65</f>
        <v>17.327059200000001</v>
      </c>
      <c r="N65" s="24" t="s">
        <v>7</v>
      </c>
      <c r="O65" s="13">
        <f>IF(N65="5",I65,0)</f>
        <v>0</v>
      </c>
      <c r="Z65" s="13">
        <f>IF(AD65=0,J65,0)</f>
        <v>0</v>
      </c>
      <c r="AA65" s="13">
        <f>IF(AD65=14,J65,0)</f>
        <v>0</v>
      </c>
      <c r="AB65" s="13">
        <f>IF(AD65=20,J65,0)</f>
        <v>0</v>
      </c>
      <c r="AD65" s="13">
        <v>20</v>
      </c>
      <c r="AE65" s="13">
        <f>G65*0.86737400530504</f>
        <v>0</v>
      </c>
      <c r="AF65" s="13">
        <f>G65*(1-0.86737400530504)</f>
        <v>0</v>
      </c>
    </row>
    <row r="66" spans="1:37" x14ac:dyDescent="0.25">
      <c r="A66" s="5"/>
      <c r="B66" s="5"/>
      <c r="C66" s="11" t="s">
        <v>106</v>
      </c>
      <c r="D66" s="49" t="s">
        <v>182</v>
      </c>
      <c r="E66" s="50"/>
      <c r="F66" s="50"/>
      <c r="G66" s="50"/>
      <c r="H66" s="26">
        <f>SUM(H67:H67)</f>
        <v>0</v>
      </c>
      <c r="I66" s="26">
        <f>SUM(I67:I67)</f>
        <v>0</v>
      </c>
      <c r="J66" s="26">
        <f>H66+I66</f>
        <v>0</v>
      </c>
      <c r="K66" s="21"/>
      <c r="L66" s="26">
        <f>SUM(L67:L67)</f>
        <v>366.26372099999998</v>
      </c>
      <c r="P66" s="26">
        <f>IF(Q66="PR",J66,SUM(O67:O67))</f>
        <v>0</v>
      </c>
      <c r="Q66" s="21" t="s">
        <v>229</v>
      </c>
      <c r="R66" s="26">
        <f>IF(Q66="HS",H66,0)</f>
        <v>0</v>
      </c>
      <c r="S66" s="26">
        <f>IF(Q66="HS",I66-P66,0)</f>
        <v>0</v>
      </c>
      <c r="T66" s="26">
        <f>IF(Q66="PS",H66,0)</f>
        <v>0</v>
      </c>
      <c r="U66" s="26">
        <f>IF(Q66="PS",I66-P66,0)</f>
        <v>0</v>
      </c>
      <c r="V66" s="26">
        <f>IF(Q66="MP",H66,0)</f>
        <v>0</v>
      </c>
      <c r="W66" s="26">
        <f>IF(Q66="MP",I66-P66,0)</f>
        <v>0</v>
      </c>
      <c r="X66" s="26">
        <f>IF(Q66="OM",H66,0)</f>
        <v>0</v>
      </c>
      <c r="Y66" s="21"/>
      <c r="AI66" s="26">
        <f>SUM(Z67:Z67)</f>
        <v>0</v>
      </c>
      <c r="AJ66" s="26">
        <f>SUM(AA67:AA67)</f>
        <v>0</v>
      </c>
      <c r="AK66" s="26">
        <f>SUM(AB67:AB67)</f>
        <v>0</v>
      </c>
    </row>
    <row r="67" spans="1:37" x14ac:dyDescent="0.25">
      <c r="A67" s="4" t="s">
        <v>49</v>
      </c>
      <c r="B67" s="4"/>
      <c r="C67" s="4" t="s">
        <v>107</v>
      </c>
      <c r="D67" s="4" t="s">
        <v>183</v>
      </c>
      <c r="E67" s="4" t="s">
        <v>209</v>
      </c>
      <c r="F67" s="13">
        <v>583.65</v>
      </c>
      <c r="G67" s="13">
        <v>0</v>
      </c>
      <c r="H67" s="13">
        <f>ROUND(F67*AE67,2)</f>
        <v>0</v>
      </c>
      <c r="I67" s="13">
        <f>J67-H67</f>
        <v>0</v>
      </c>
      <c r="J67" s="13">
        <f>ROUND(F67*G67,2)</f>
        <v>0</v>
      </c>
      <c r="K67" s="13">
        <v>0.62753999999999999</v>
      </c>
      <c r="L67" s="13">
        <f>F67*K67</f>
        <v>366.26372099999998</v>
      </c>
      <c r="N67" s="24" t="s">
        <v>7</v>
      </c>
      <c r="O67" s="13">
        <f>IF(N67="5",I67,0)</f>
        <v>0</v>
      </c>
      <c r="Z67" s="13">
        <f>IF(AD67=0,J67,0)</f>
        <v>0</v>
      </c>
      <c r="AA67" s="13">
        <f>IF(AD67=14,J67,0)</f>
        <v>0</v>
      </c>
      <c r="AB67" s="13">
        <f>IF(AD67=20,J67,0)</f>
        <v>0</v>
      </c>
      <c r="AD67" s="13">
        <v>20</v>
      </c>
      <c r="AE67" s="13">
        <f>G67*0.605931943592888</f>
        <v>0</v>
      </c>
      <c r="AF67" s="13">
        <f>G67*(1-0.605931943592888)</f>
        <v>0</v>
      </c>
    </row>
    <row r="68" spans="1:37" x14ac:dyDescent="0.25">
      <c r="A68" s="5"/>
      <c r="B68" s="5"/>
      <c r="C68" s="11" t="s">
        <v>108</v>
      </c>
      <c r="D68" s="49" t="s">
        <v>184</v>
      </c>
      <c r="E68" s="50"/>
      <c r="F68" s="50"/>
      <c r="G68" s="50"/>
      <c r="H68" s="26">
        <f>SUM(H69:H69)</f>
        <v>0</v>
      </c>
      <c r="I68" s="26">
        <f>SUM(I69:I69)</f>
        <v>0</v>
      </c>
      <c r="J68" s="26">
        <f>H68+I68</f>
        <v>0</v>
      </c>
      <c r="K68" s="21"/>
      <c r="L68" s="26">
        <f>SUM(L69:L69)</f>
        <v>6.0962000000000009E-2</v>
      </c>
      <c r="P68" s="26">
        <f>IF(Q68="PR",J68,SUM(O69:O69))</f>
        <v>0</v>
      </c>
      <c r="Q68" s="21" t="s">
        <v>230</v>
      </c>
      <c r="R68" s="26">
        <f>IF(Q68="HS",H68,0)</f>
        <v>0</v>
      </c>
      <c r="S68" s="26">
        <f>IF(Q68="HS",I68-P68,0)</f>
        <v>0</v>
      </c>
      <c r="T68" s="26">
        <f>IF(Q68="PS",H68,0)</f>
        <v>0</v>
      </c>
      <c r="U68" s="26">
        <f>IF(Q68="PS",I68-P68,0)</f>
        <v>0</v>
      </c>
      <c r="V68" s="26">
        <f>IF(Q68="MP",H68,0)</f>
        <v>0</v>
      </c>
      <c r="W68" s="26">
        <f>IF(Q68="MP",I68-P68,0)</f>
        <v>0</v>
      </c>
      <c r="X68" s="26">
        <f>IF(Q68="OM",H68,0)</f>
        <v>0</v>
      </c>
      <c r="Y68" s="21"/>
      <c r="AI68" s="26">
        <f>SUM(Z69:Z69)</f>
        <v>0</v>
      </c>
      <c r="AJ68" s="26">
        <f>SUM(AA69:AA69)</f>
        <v>0</v>
      </c>
      <c r="AK68" s="26">
        <f>SUM(AB69:AB69)</f>
        <v>0</v>
      </c>
    </row>
    <row r="69" spans="1:37" x14ac:dyDescent="0.25">
      <c r="A69" s="4" t="s">
        <v>50</v>
      </c>
      <c r="B69" s="4"/>
      <c r="C69" s="4" t="s">
        <v>109</v>
      </c>
      <c r="D69" s="4" t="s">
        <v>185</v>
      </c>
      <c r="E69" s="4" t="s">
        <v>209</v>
      </c>
      <c r="F69" s="13">
        <v>89.65</v>
      </c>
      <c r="G69" s="13">
        <v>0</v>
      </c>
      <c r="H69" s="13">
        <f>ROUND(F69*AE69,2)</f>
        <v>0</v>
      </c>
      <c r="I69" s="13">
        <f>J69-H69</f>
        <v>0</v>
      </c>
      <c r="J69" s="13">
        <f>ROUND(F69*G69,2)</f>
        <v>0</v>
      </c>
      <c r="K69" s="13">
        <v>6.8000000000000005E-4</v>
      </c>
      <c r="L69" s="13">
        <f>F69*K69</f>
        <v>6.0962000000000009E-2</v>
      </c>
      <c r="N69" s="24" t="s">
        <v>7</v>
      </c>
      <c r="O69" s="13">
        <f>IF(N69="5",I69,0)</f>
        <v>0</v>
      </c>
      <c r="Z69" s="13">
        <f>IF(AD69=0,J69,0)</f>
        <v>0</v>
      </c>
      <c r="AA69" s="13">
        <f>IF(AD69=14,J69,0)</f>
        <v>0</v>
      </c>
      <c r="AB69" s="13">
        <f>IF(AD69=20,J69,0)</f>
        <v>0</v>
      </c>
      <c r="AD69" s="13">
        <v>20</v>
      </c>
      <c r="AE69" s="13">
        <f>G69*0.563952666069492</f>
        <v>0</v>
      </c>
      <c r="AF69" s="13">
        <f>G69*(1-0.563952666069492)</f>
        <v>0</v>
      </c>
    </row>
    <row r="70" spans="1:37" x14ac:dyDescent="0.25">
      <c r="A70" s="5"/>
      <c r="B70" s="5"/>
      <c r="C70" s="11" t="s">
        <v>110</v>
      </c>
      <c r="D70" s="49" t="s">
        <v>186</v>
      </c>
      <c r="E70" s="50"/>
      <c r="F70" s="50"/>
      <c r="G70" s="50"/>
      <c r="H70" s="26">
        <f>SUM(H71:H72)</f>
        <v>0</v>
      </c>
      <c r="I70" s="26">
        <f>SUM(I71:I72)</f>
        <v>0</v>
      </c>
      <c r="J70" s="26">
        <f>H70+I70</f>
        <v>0</v>
      </c>
      <c r="K70" s="21"/>
      <c r="L70" s="26">
        <f>SUM(L71:L72)</f>
        <v>0</v>
      </c>
      <c r="P70" s="26">
        <f>IF(Q70="PR",J70,SUM(O71:O72))</f>
        <v>0</v>
      </c>
      <c r="Q70" s="21" t="s">
        <v>230</v>
      </c>
      <c r="R70" s="26">
        <f>IF(Q70="HS",H70,0)</f>
        <v>0</v>
      </c>
      <c r="S70" s="26">
        <f>IF(Q70="HS",I70-P70,0)</f>
        <v>0</v>
      </c>
      <c r="T70" s="26">
        <f>IF(Q70="PS",H70,0)</f>
        <v>0</v>
      </c>
      <c r="U70" s="26">
        <f>IF(Q70="PS",I70-P70,0)</f>
        <v>0</v>
      </c>
      <c r="V70" s="26">
        <f>IF(Q70="MP",H70,0)</f>
        <v>0</v>
      </c>
      <c r="W70" s="26">
        <f>IF(Q70="MP",I70-P70,0)</f>
        <v>0</v>
      </c>
      <c r="X70" s="26">
        <f>IF(Q70="OM",H70,0)</f>
        <v>0</v>
      </c>
      <c r="Y70" s="21"/>
      <c r="AI70" s="26">
        <f>SUM(Z71:Z72)</f>
        <v>0</v>
      </c>
      <c r="AJ70" s="26">
        <f>SUM(AA71:AA72)</f>
        <v>0</v>
      </c>
      <c r="AK70" s="26">
        <f>SUM(AB71:AB72)</f>
        <v>0</v>
      </c>
    </row>
    <row r="71" spans="1:37" x14ac:dyDescent="0.25">
      <c r="A71" s="4" t="s">
        <v>51</v>
      </c>
      <c r="B71" s="4"/>
      <c r="C71" s="4" t="s">
        <v>111</v>
      </c>
      <c r="D71" s="4" t="s">
        <v>187</v>
      </c>
      <c r="E71" s="4" t="s">
        <v>210</v>
      </c>
      <c r="F71" s="13">
        <v>154.5</v>
      </c>
      <c r="G71" s="13">
        <v>0</v>
      </c>
      <c r="H71" s="13">
        <f>ROUND(F71*AE71,2)</f>
        <v>0</v>
      </c>
      <c r="I71" s="13">
        <f>J71-H71</f>
        <v>0</v>
      </c>
      <c r="J71" s="13">
        <f>ROUND(F71*G71,2)</f>
        <v>0</v>
      </c>
      <c r="K71" s="13">
        <v>0</v>
      </c>
      <c r="L71" s="13">
        <f>F71*K71</f>
        <v>0</v>
      </c>
      <c r="N71" s="24" t="s">
        <v>7</v>
      </c>
      <c r="O71" s="13">
        <f>IF(N71="5",I71,0)</f>
        <v>0</v>
      </c>
      <c r="Z71" s="13">
        <f>IF(AD71=0,J71,0)</f>
        <v>0</v>
      </c>
      <c r="AA71" s="13">
        <f>IF(AD71=14,J71,0)</f>
        <v>0</v>
      </c>
      <c r="AB71" s="13">
        <f>IF(AD71=20,J71,0)</f>
        <v>0</v>
      </c>
      <c r="AD71" s="13">
        <v>20</v>
      </c>
      <c r="AE71" s="13">
        <f>G71*0.52376736584037</f>
        <v>0</v>
      </c>
      <c r="AF71" s="13">
        <f>G71*(1-0.52376736584037)</f>
        <v>0</v>
      </c>
    </row>
    <row r="72" spans="1:37" x14ac:dyDescent="0.25">
      <c r="A72" s="4" t="s">
        <v>52</v>
      </c>
      <c r="B72" s="4"/>
      <c r="C72" s="4" t="s">
        <v>112</v>
      </c>
      <c r="D72" s="4" t="s">
        <v>188</v>
      </c>
      <c r="E72" s="4" t="s">
        <v>207</v>
      </c>
      <c r="F72" s="13">
        <v>1</v>
      </c>
      <c r="G72" s="13">
        <v>0</v>
      </c>
      <c r="H72" s="13">
        <f>ROUND(F72*AE72,2)</f>
        <v>0</v>
      </c>
      <c r="I72" s="13">
        <f>J72-H72</f>
        <v>0</v>
      </c>
      <c r="J72" s="13">
        <f>ROUND(F72*G72,2)</f>
        <v>0</v>
      </c>
      <c r="K72" s="13">
        <v>0</v>
      </c>
      <c r="L72" s="13">
        <f>F72*K72</f>
        <v>0</v>
      </c>
      <c r="N72" s="24" t="s">
        <v>7</v>
      </c>
      <c r="O72" s="13">
        <f>IF(N72="5",I72,0)</f>
        <v>0</v>
      </c>
      <c r="Z72" s="13">
        <f>IF(AD72=0,J72,0)</f>
        <v>0</v>
      </c>
      <c r="AA72" s="13">
        <f>IF(AD72=14,J72,0)</f>
        <v>0</v>
      </c>
      <c r="AB72" s="13">
        <f>IF(AD72=20,J72,0)</f>
        <v>0</v>
      </c>
      <c r="AD72" s="13">
        <v>20</v>
      </c>
      <c r="AE72" s="13">
        <f>G72*0.753064580717149</f>
        <v>0</v>
      </c>
      <c r="AF72" s="13">
        <f>G72*(1-0.753064580717149)</f>
        <v>0</v>
      </c>
    </row>
    <row r="73" spans="1:37" x14ac:dyDescent="0.25">
      <c r="A73" s="5"/>
      <c r="B73" s="5"/>
      <c r="C73" s="11" t="s">
        <v>113</v>
      </c>
      <c r="D73" s="49" t="s">
        <v>189</v>
      </c>
      <c r="E73" s="50"/>
      <c r="F73" s="50"/>
      <c r="G73" s="50"/>
      <c r="H73" s="26">
        <f>SUM(H74:H74)</f>
        <v>0</v>
      </c>
      <c r="I73" s="26">
        <f>SUM(I74:I74)</f>
        <v>0</v>
      </c>
      <c r="J73" s="26">
        <f>H73+I73</f>
        <v>0</v>
      </c>
      <c r="K73" s="21"/>
      <c r="L73" s="26">
        <f>SUM(L74:L74)</f>
        <v>56.111249999999998</v>
      </c>
      <c r="P73" s="26">
        <f>IF(Q73="PR",J73,SUM(O74:O74))</f>
        <v>0</v>
      </c>
      <c r="Q73" s="21" t="s">
        <v>229</v>
      </c>
      <c r="R73" s="26">
        <f>IF(Q73="HS",H73,0)</f>
        <v>0</v>
      </c>
      <c r="S73" s="26">
        <f>IF(Q73="HS",I73-P73,0)</f>
        <v>0</v>
      </c>
      <c r="T73" s="26">
        <f>IF(Q73="PS",H73,0)</f>
        <v>0</v>
      </c>
      <c r="U73" s="26">
        <f>IF(Q73="PS",I73-P73,0)</f>
        <v>0</v>
      </c>
      <c r="V73" s="26">
        <f>IF(Q73="MP",H73,0)</f>
        <v>0</v>
      </c>
      <c r="W73" s="26">
        <f>IF(Q73="MP",I73-P73,0)</f>
        <v>0</v>
      </c>
      <c r="X73" s="26">
        <f>IF(Q73="OM",H73,0)</f>
        <v>0</v>
      </c>
      <c r="Y73" s="21"/>
      <c r="AI73" s="26">
        <f>SUM(Z74:Z74)</f>
        <v>0</v>
      </c>
      <c r="AJ73" s="26">
        <f>SUM(AA74:AA74)</f>
        <v>0</v>
      </c>
      <c r="AK73" s="26">
        <f>SUM(AB74:AB74)</f>
        <v>0</v>
      </c>
    </row>
    <row r="74" spans="1:37" x14ac:dyDescent="0.25">
      <c r="A74" s="4" t="s">
        <v>53</v>
      </c>
      <c r="B74" s="4"/>
      <c r="C74" s="4" t="s">
        <v>114</v>
      </c>
      <c r="D74" s="4" t="s">
        <v>190</v>
      </c>
      <c r="E74" s="4" t="s">
        <v>210</v>
      </c>
      <c r="F74" s="13">
        <v>125</v>
      </c>
      <c r="G74" s="13">
        <v>0</v>
      </c>
      <c r="H74" s="13">
        <f>ROUND(F74*AE74,2)</f>
        <v>0</v>
      </c>
      <c r="I74" s="13">
        <f>J74-H74</f>
        <v>0</v>
      </c>
      <c r="J74" s="13">
        <f>ROUND(F74*G74,2)</f>
        <v>0</v>
      </c>
      <c r="K74" s="13">
        <v>0.44889000000000001</v>
      </c>
      <c r="L74" s="13">
        <f>F74*K74</f>
        <v>56.111249999999998</v>
      </c>
      <c r="N74" s="24" t="s">
        <v>7</v>
      </c>
      <c r="O74" s="13">
        <f>IF(N74="5",I74,0)</f>
        <v>0</v>
      </c>
      <c r="Z74" s="13">
        <f>IF(AD74=0,J74,0)</f>
        <v>0</v>
      </c>
      <c r="AA74" s="13">
        <f>IF(AD74=14,J74,0)</f>
        <v>0</v>
      </c>
      <c r="AB74" s="13">
        <f>IF(AD74=20,J74,0)</f>
        <v>0</v>
      </c>
      <c r="AD74" s="13">
        <v>20</v>
      </c>
      <c r="AE74" s="13">
        <f>G74*0.578714989977789</f>
        <v>0</v>
      </c>
      <c r="AF74" s="13">
        <f>G74*(1-0.578714989977789)</f>
        <v>0</v>
      </c>
    </row>
    <row r="75" spans="1:37" x14ac:dyDescent="0.25">
      <c r="A75" s="5"/>
      <c r="B75" s="5"/>
      <c r="C75" s="11" t="s">
        <v>115</v>
      </c>
      <c r="D75" s="49" t="s">
        <v>191</v>
      </c>
      <c r="E75" s="50"/>
      <c r="F75" s="50"/>
      <c r="G75" s="50"/>
      <c r="H75" s="26">
        <f>SUM(H76:H76)</f>
        <v>0</v>
      </c>
      <c r="I75" s="26">
        <f>SUM(I76:I76)</f>
        <v>0</v>
      </c>
      <c r="J75" s="26">
        <f>H75+I75</f>
        <v>0</v>
      </c>
      <c r="K75" s="21"/>
      <c r="L75" s="26">
        <f>SUM(L76:L76)</f>
        <v>22.366500000000002</v>
      </c>
      <c r="P75" s="26">
        <f>IF(Q75="PR",J75,SUM(O76:O76))</f>
        <v>0</v>
      </c>
      <c r="Q75" s="21" t="s">
        <v>229</v>
      </c>
      <c r="R75" s="26">
        <f>IF(Q75="HS",H75,0)</f>
        <v>0</v>
      </c>
      <c r="S75" s="26">
        <f>IF(Q75="HS",I75-P75,0)</f>
        <v>0</v>
      </c>
      <c r="T75" s="26">
        <f>IF(Q75="PS",H75,0)</f>
        <v>0</v>
      </c>
      <c r="U75" s="26">
        <f>IF(Q75="PS",I75-P75,0)</f>
        <v>0</v>
      </c>
      <c r="V75" s="26">
        <f>IF(Q75="MP",H75,0)</f>
        <v>0</v>
      </c>
      <c r="W75" s="26">
        <f>IF(Q75="MP",I75-P75,0)</f>
        <v>0</v>
      </c>
      <c r="X75" s="26">
        <f>IF(Q75="OM",H75,0)</f>
        <v>0</v>
      </c>
      <c r="Y75" s="21"/>
      <c r="AI75" s="26">
        <f>SUM(Z76:Z76)</f>
        <v>0</v>
      </c>
      <c r="AJ75" s="26">
        <f>SUM(AA76:AA76)</f>
        <v>0</v>
      </c>
      <c r="AK75" s="26">
        <f>SUM(AB76:AB76)</f>
        <v>0</v>
      </c>
    </row>
    <row r="76" spans="1:37" x14ac:dyDescent="0.25">
      <c r="A76" s="4" t="s">
        <v>54</v>
      </c>
      <c r="B76" s="4"/>
      <c r="C76" s="4" t="s">
        <v>116</v>
      </c>
      <c r="D76" s="4" t="s">
        <v>192</v>
      </c>
      <c r="E76" s="4" t="s">
        <v>208</v>
      </c>
      <c r="F76" s="13">
        <v>11.47</v>
      </c>
      <c r="G76" s="13">
        <v>0</v>
      </c>
      <c r="H76" s="13">
        <f>ROUND(F76*AE76,2)</f>
        <v>0</v>
      </c>
      <c r="I76" s="13">
        <f>J76-H76</f>
        <v>0</v>
      </c>
      <c r="J76" s="13">
        <f>ROUND(F76*G76,2)</f>
        <v>0</v>
      </c>
      <c r="K76" s="13">
        <v>1.95</v>
      </c>
      <c r="L76" s="13">
        <f>F76*K76</f>
        <v>22.366500000000002</v>
      </c>
      <c r="N76" s="24" t="s">
        <v>7</v>
      </c>
      <c r="O76" s="13">
        <f>IF(N76="5",I76,0)</f>
        <v>0</v>
      </c>
      <c r="Z76" s="13">
        <f>IF(AD76=0,J76,0)</f>
        <v>0</v>
      </c>
      <c r="AA76" s="13">
        <f>IF(AD76=14,J76,0)</f>
        <v>0</v>
      </c>
      <c r="AB76" s="13">
        <f>IF(AD76=20,J76,0)</f>
        <v>0</v>
      </c>
      <c r="AD76" s="13">
        <v>20</v>
      </c>
      <c r="AE76" s="13">
        <f>G76*0.0215478366849482</f>
        <v>0</v>
      </c>
      <c r="AF76" s="13">
        <f>G76*(1-0.0215478366849482)</f>
        <v>0</v>
      </c>
    </row>
    <row r="77" spans="1:37" x14ac:dyDescent="0.25">
      <c r="A77" s="5"/>
      <c r="B77" s="5"/>
      <c r="C77" s="11" t="s">
        <v>117</v>
      </c>
      <c r="D77" s="49" t="s">
        <v>193</v>
      </c>
      <c r="E77" s="50"/>
      <c r="F77" s="50"/>
      <c r="G77" s="50"/>
      <c r="H77" s="26">
        <f>SUM(H78:H78)</f>
        <v>0</v>
      </c>
      <c r="I77" s="26">
        <f>SUM(I78:I78)</f>
        <v>0</v>
      </c>
      <c r="J77" s="26">
        <f>H77+I77</f>
        <v>0</v>
      </c>
      <c r="K77" s="21"/>
      <c r="L77" s="26">
        <f>SUM(L78:L78)</f>
        <v>0</v>
      </c>
      <c r="P77" s="26">
        <f>IF(Q77="PR",J77,SUM(O78:O78))</f>
        <v>0</v>
      </c>
      <c r="Q77" s="21" t="s">
        <v>231</v>
      </c>
      <c r="R77" s="26">
        <f>IF(Q77="HS",H77,0)</f>
        <v>0</v>
      </c>
      <c r="S77" s="26">
        <f>IF(Q77="HS",I77-P77,0)</f>
        <v>0</v>
      </c>
      <c r="T77" s="26">
        <f>IF(Q77="PS",H77,0)</f>
        <v>0</v>
      </c>
      <c r="U77" s="26">
        <f>IF(Q77="PS",I77-P77,0)</f>
        <v>0</v>
      </c>
      <c r="V77" s="26">
        <f>IF(Q77="MP",H77,0)</f>
        <v>0</v>
      </c>
      <c r="W77" s="26">
        <f>IF(Q77="MP",I77-P77,0)</f>
        <v>0</v>
      </c>
      <c r="X77" s="26">
        <f>IF(Q77="OM",H77,0)</f>
        <v>0</v>
      </c>
      <c r="Y77" s="21"/>
      <c r="AI77" s="26">
        <f>SUM(Z78:Z78)</f>
        <v>0</v>
      </c>
      <c r="AJ77" s="26">
        <f>SUM(AA78:AA78)</f>
        <v>0</v>
      </c>
      <c r="AK77" s="26">
        <f>SUM(AB78:AB78)</f>
        <v>0</v>
      </c>
    </row>
    <row r="78" spans="1:37" x14ac:dyDescent="0.25">
      <c r="A78" s="4" t="s">
        <v>55</v>
      </c>
      <c r="B78" s="4"/>
      <c r="C78" s="4" t="s">
        <v>118</v>
      </c>
      <c r="D78" s="4" t="s">
        <v>194</v>
      </c>
      <c r="E78" s="4" t="s">
        <v>211</v>
      </c>
      <c r="F78" s="13">
        <v>1219.72</v>
      </c>
      <c r="G78" s="13">
        <v>0</v>
      </c>
      <c r="H78" s="13">
        <f>ROUND(F78*AE78,2)</f>
        <v>0</v>
      </c>
      <c r="I78" s="13">
        <f>J78-H78</f>
        <v>0</v>
      </c>
      <c r="J78" s="13">
        <f>ROUND(F78*G78,2)</f>
        <v>0</v>
      </c>
      <c r="K78" s="13">
        <v>0</v>
      </c>
      <c r="L78" s="13">
        <f>F78*K78</f>
        <v>0</v>
      </c>
      <c r="N78" s="24" t="s">
        <v>11</v>
      </c>
      <c r="O78" s="13">
        <f>IF(N78="5",I78,0)</f>
        <v>0</v>
      </c>
      <c r="Z78" s="13">
        <f>IF(AD78=0,J78,0)</f>
        <v>0</v>
      </c>
      <c r="AA78" s="13">
        <f>IF(AD78=14,J78,0)</f>
        <v>0</v>
      </c>
      <c r="AB78" s="13">
        <f>IF(AD78=20,J78,0)</f>
        <v>0</v>
      </c>
      <c r="AD78" s="13">
        <v>20</v>
      </c>
      <c r="AE78" s="13">
        <f>G78*0</f>
        <v>0</v>
      </c>
      <c r="AF78" s="13">
        <f>G78*(1-0)</f>
        <v>0</v>
      </c>
    </row>
    <row r="79" spans="1:37" x14ac:dyDescent="0.25">
      <c r="A79" s="5"/>
      <c r="B79" s="5"/>
      <c r="C79" s="11" t="s">
        <v>119</v>
      </c>
      <c r="D79" s="49" t="s">
        <v>195</v>
      </c>
      <c r="E79" s="50"/>
      <c r="F79" s="50"/>
      <c r="G79" s="50"/>
      <c r="H79" s="26">
        <f>SUM(H80:H80)</f>
        <v>0</v>
      </c>
      <c r="I79" s="26">
        <f>SUM(I80:I80)</f>
        <v>0</v>
      </c>
      <c r="J79" s="26">
        <f>H79+I79</f>
        <v>0</v>
      </c>
      <c r="K79" s="21"/>
      <c r="L79" s="26">
        <f>SUM(L80:L80)</f>
        <v>0</v>
      </c>
      <c r="P79" s="26">
        <f>IF(Q79="PR",J79,SUM(O80:O80))</f>
        <v>0</v>
      </c>
      <c r="Q79" s="21" t="s">
        <v>232</v>
      </c>
      <c r="R79" s="26">
        <f>IF(Q79="HS",H79,0)</f>
        <v>0</v>
      </c>
      <c r="S79" s="26">
        <f>IF(Q79="HS",I79-P79,0)</f>
        <v>0</v>
      </c>
      <c r="T79" s="26">
        <f>IF(Q79="PS",H79,0)</f>
        <v>0</v>
      </c>
      <c r="U79" s="26">
        <f>IF(Q79="PS",I79-P79,0)</f>
        <v>0</v>
      </c>
      <c r="V79" s="26">
        <f>IF(Q79="MP",H79,0)</f>
        <v>0</v>
      </c>
      <c r="W79" s="26">
        <f>IF(Q79="MP",I79-P79,0)</f>
        <v>0</v>
      </c>
      <c r="X79" s="26">
        <f>IF(Q79="OM",H79,0)</f>
        <v>0</v>
      </c>
      <c r="Y79" s="21"/>
      <c r="AI79" s="26">
        <f>SUM(Z80:Z80)</f>
        <v>0</v>
      </c>
      <c r="AJ79" s="26">
        <f>SUM(AA80:AA80)</f>
        <v>0</v>
      </c>
      <c r="AK79" s="26">
        <f>SUM(AB80:AB80)</f>
        <v>0</v>
      </c>
    </row>
    <row r="80" spans="1:37" x14ac:dyDescent="0.25">
      <c r="A80" s="4" t="s">
        <v>56</v>
      </c>
      <c r="B80" s="4"/>
      <c r="C80" s="4" t="s">
        <v>120</v>
      </c>
      <c r="D80" s="4" t="s">
        <v>196</v>
      </c>
      <c r="E80" s="4" t="s">
        <v>207</v>
      </c>
      <c r="F80" s="13">
        <v>654</v>
      </c>
      <c r="G80" s="13">
        <v>0</v>
      </c>
      <c r="H80" s="13">
        <f>ROUND(F80*AE80,2)</f>
        <v>0</v>
      </c>
      <c r="I80" s="13">
        <f>J80-H80</f>
        <v>0</v>
      </c>
      <c r="J80" s="13">
        <f>ROUND(F80*G80,2)</f>
        <v>0</v>
      </c>
      <c r="K80" s="13">
        <v>0</v>
      </c>
      <c r="L80" s="13">
        <f>F80*K80</f>
        <v>0</v>
      </c>
      <c r="N80" s="24" t="s">
        <v>8</v>
      </c>
      <c r="O80" s="13">
        <f>IF(N80="5",I80,0)</f>
        <v>0</v>
      </c>
      <c r="Z80" s="13">
        <f>IF(AD80=0,J80,0)</f>
        <v>0</v>
      </c>
      <c r="AA80" s="13">
        <f>IF(AD80=14,J80,0)</f>
        <v>0</v>
      </c>
      <c r="AB80" s="13">
        <f>IF(AD80=20,J80,0)</f>
        <v>0</v>
      </c>
      <c r="AD80" s="13">
        <v>20</v>
      </c>
      <c r="AE80" s="13">
        <f>G80*0</f>
        <v>0</v>
      </c>
      <c r="AF80" s="13">
        <f>G80*(1-0)</f>
        <v>0</v>
      </c>
    </row>
    <row r="81" spans="1:37" x14ac:dyDescent="0.25">
      <c r="A81" s="5"/>
      <c r="B81" s="5"/>
      <c r="C81" s="11" t="s">
        <v>121</v>
      </c>
      <c r="D81" s="49" t="s">
        <v>197</v>
      </c>
      <c r="E81" s="50"/>
      <c r="F81" s="50"/>
      <c r="G81" s="50"/>
      <c r="H81" s="26">
        <f>SUM(H82:H83)</f>
        <v>0</v>
      </c>
      <c r="I81" s="26">
        <f>SUM(I82:I83)</f>
        <v>0</v>
      </c>
      <c r="J81" s="26">
        <f>H81+I81</f>
        <v>0</v>
      </c>
      <c r="K81" s="21"/>
      <c r="L81" s="26">
        <f>SUM(L82:L83)</f>
        <v>0</v>
      </c>
      <c r="P81" s="26">
        <f>IF(Q81="PR",J81,SUM(O82:O83))</f>
        <v>0</v>
      </c>
      <c r="Q81" s="21" t="s">
        <v>231</v>
      </c>
      <c r="R81" s="26">
        <f>IF(Q81="HS",H81,0)</f>
        <v>0</v>
      </c>
      <c r="S81" s="26">
        <f>IF(Q81="HS",I81-P81,0)</f>
        <v>0</v>
      </c>
      <c r="T81" s="26">
        <f>IF(Q81="PS",H81,0)</f>
        <v>0</v>
      </c>
      <c r="U81" s="26">
        <f>IF(Q81="PS",I81-P81,0)</f>
        <v>0</v>
      </c>
      <c r="V81" s="26">
        <f>IF(Q81="MP",H81,0)</f>
        <v>0</v>
      </c>
      <c r="W81" s="26">
        <f>IF(Q81="MP",I81-P81,0)</f>
        <v>0</v>
      </c>
      <c r="X81" s="26">
        <f>IF(Q81="OM",H81,0)</f>
        <v>0</v>
      </c>
      <c r="Y81" s="21"/>
      <c r="AI81" s="26">
        <f>SUM(Z82:Z83)</f>
        <v>0</v>
      </c>
      <c r="AJ81" s="26">
        <f>SUM(AA82:AA83)</f>
        <v>0</v>
      </c>
      <c r="AK81" s="26">
        <f>SUM(AB82:AB83)</f>
        <v>0</v>
      </c>
    </row>
    <row r="82" spans="1:37" x14ac:dyDescent="0.25">
      <c r="A82" s="4" t="s">
        <v>57</v>
      </c>
      <c r="B82" s="4"/>
      <c r="C82" s="4" t="s">
        <v>122</v>
      </c>
      <c r="D82" s="4" t="s">
        <v>198</v>
      </c>
      <c r="E82" s="4" t="s">
        <v>211</v>
      </c>
      <c r="F82" s="13">
        <v>22.36</v>
      </c>
      <c r="G82" s="13">
        <v>0</v>
      </c>
      <c r="H82" s="13">
        <f>ROUND(F82*AE82,2)</f>
        <v>0</v>
      </c>
      <c r="I82" s="13">
        <f>J82-H82</f>
        <v>0</v>
      </c>
      <c r="J82" s="13">
        <f>ROUND(F82*G82,2)</f>
        <v>0</v>
      </c>
      <c r="K82" s="13">
        <v>0</v>
      </c>
      <c r="L82" s="13">
        <f>F82*K82</f>
        <v>0</v>
      </c>
      <c r="N82" s="24" t="s">
        <v>11</v>
      </c>
      <c r="O82" s="13">
        <f>IF(N82="5",I82,0)</f>
        <v>0</v>
      </c>
      <c r="Z82" s="13">
        <f>IF(AD82=0,J82,0)</f>
        <v>0</v>
      </c>
      <c r="AA82" s="13">
        <f>IF(AD82=14,J82,0)</f>
        <v>0</v>
      </c>
      <c r="AB82" s="13">
        <f>IF(AD82=20,J82,0)</f>
        <v>0</v>
      </c>
      <c r="AD82" s="13">
        <v>20</v>
      </c>
      <c r="AE82" s="13">
        <f>G82*0</f>
        <v>0</v>
      </c>
      <c r="AF82" s="13">
        <f>G82*(1-0)</f>
        <v>0</v>
      </c>
    </row>
    <row r="83" spans="1:37" x14ac:dyDescent="0.25">
      <c r="A83" s="4" t="s">
        <v>58</v>
      </c>
      <c r="B83" s="4"/>
      <c r="C83" s="4" t="s">
        <v>123</v>
      </c>
      <c r="D83" s="4" t="s">
        <v>199</v>
      </c>
      <c r="E83" s="4" t="s">
        <v>211</v>
      </c>
      <c r="F83" s="13">
        <v>22.36</v>
      </c>
      <c r="G83" s="13">
        <v>0</v>
      </c>
      <c r="H83" s="13">
        <f>ROUND(F83*AE83,2)</f>
        <v>0</v>
      </c>
      <c r="I83" s="13">
        <f>J83-H83</f>
        <v>0</v>
      </c>
      <c r="J83" s="13">
        <f>ROUND(F83*G83,2)</f>
        <v>0</v>
      </c>
      <c r="K83" s="13">
        <v>0</v>
      </c>
      <c r="L83" s="13">
        <f>F83*K83</f>
        <v>0</v>
      </c>
      <c r="N83" s="24" t="s">
        <v>11</v>
      </c>
      <c r="O83" s="13">
        <f>IF(N83="5",I83,0)</f>
        <v>0</v>
      </c>
      <c r="Z83" s="13">
        <f>IF(AD83=0,J83,0)</f>
        <v>0</v>
      </c>
      <c r="AA83" s="13">
        <f>IF(AD83=14,J83,0)</f>
        <v>0</v>
      </c>
      <c r="AB83" s="13">
        <f>IF(AD83=20,J83,0)</f>
        <v>0</v>
      </c>
      <c r="AD83" s="13">
        <v>20</v>
      </c>
      <c r="AE83" s="13">
        <f>G83*0</f>
        <v>0</v>
      </c>
      <c r="AF83" s="13">
        <f>G83*(1-0)</f>
        <v>0</v>
      </c>
    </row>
    <row r="84" spans="1:37" x14ac:dyDescent="0.25">
      <c r="A84" s="5"/>
      <c r="B84" s="5"/>
      <c r="C84" s="11"/>
      <c r="D84" s="49" t="s">
        <v>200</v>
      </c>
      <c r="E84" s="50"/>
      <c r="F84" s="50"/>
      <c r="G84" s="50"/>
      <c r="H84" s="26">
        <f>SUM(H85:H85)</f>
        <v>0</v>
      </c>
      <c r="I84" s="26">
        <f>SUM(I85:I85)</f>
        <v>0</v>
      </c>
      <c r="J84" s="26">
        <f>H84+I84</f>
        <v>0</v>
      </c>
      <c r="K84" s="21"/>
      <c r="L84" s="26">
        <f>SUM(L85:L85)</f>
        <v>0</v>
      </c>
      <c r="P84" s="26">
        <f>IF(Q84="PR",J84,SUM(O85:O85))</f>
        <v>0</v>
      </c>
      <c r="Q84" s="21" t="s">
        <v>233</v>
      </c>
      <c r="R84" s="26">
        <f>IF(Q84="HS",H84,0)</f>
        <v>0</v>
      </c>
      <c r="S84" s="26">
        <f>IF(Q84="HS",I84-P84,0)</f>
        <v>0</v>
      </c>
      <c r="T84" s="26">
        <f>IF(Q84="PS",H84,0)</f>
        <v>0</v>
      </c>
      <c r="U84" s="26">
        <f>IF(Q84="PS",I84-P84,0)</f>
        <v>0</v>
      </c>
      <c r="V84" s="26">
        <f>IF(Q84="MP",H84,0)</f>
        <v>0</v>
      </c>
      <c r="W84" s="26">
        <f>IF(Q84="MP",I84-P84,0)</f>
        <v>0</v>
      </c>
      <c r="X84" s="26">
        <f>IF(Q84="OM",H84,0)</f>
        <v>0</v>
      </c>
      <c r="Y84" s="21"/>
      <c r="AI84" s="26">
        <f>SUM(Z85:Z85)</f>
        <v>0</v>
      </c>
      <c r="AJ84" s="26">
        <f>SUM(AA85:AA85)</f>
        <v>0</v>
      </c>
      <c r="AK84" s="26">
        <f>SUM(AB85:AB85)</f>
        <v>0</v>
      </c>
    </row>
    <row r="85" spans="1:37" x14ac:dyDescent="0.25">
      <c r="A85" s="6" t="s">
        <v>59</v>
      </c>
      <c r="B85" s="6"/>
      <c r="C85" s="6" t="s">
        <v>124</v>
      </c>
      <c r="D85" s="6" t="s">
        <v>201</v>
      </c>
      <c r="E85" s="6" t="s">
        <v>207</v>
      </c>
      <c r="F85" s="14">
        <v>654</v>
      </c>
      <c r="G85" s="14">
        <v>0</v>
      </c>
      <c r="H85" s="14">
        <f>ROUND(F85*AE85,2)</f>
        <v>0</v>
      </c>
      <c r="I85" s="14">
        <f>J85-H85</f>
        <v>0</v>
      </c>
      <c r="J85" s="14">
        <f>ROUND(F85*G85,2)</f>
        <v>0</v>
      </c>
      <c r="K85" s="14">
        <v>0</v>
      </c>
      <c r="L85" s="14">
        <f>F85*K85</f>
        <v>0</v>
      </c>
      <c r="N85" s="24" t="s">
        <v>226</v>
      </c>
      <c r="O85" s="13">
        <f>IF(N85="5",I85,0)</f>
        <v>0</v>
      </c>
      <c r="Z85" s="13">
        <f>IF(AD85=0,J85,0)</f>
        <v>0</v>
      </c>
      <c r="AA85" s="13">
        <f>IF(AD85=14,J85,0)</f>
        <v>0</v>
      </c>
      <c r="AB85" s="13">
        <f>IF(AD85=20,J85,0)</f>
        <v>0</v>
      </c>
      <c r="AD85" s="13">
        <v>20</v>
      </c>
      <c r="AE85" s="13">
        <f>G85*1</f>
        <v>0</v>
      </c>
      <c r="AF85" s="13">
        <f>G85*(1-1)</f>
        <v>0</v>
      </c>
    </row>
    <row r="86" spans="1:37" x14ac:dyDescent="0.25">
      <c r="A86" s="7"/>
      <c r="B86" s="7"/>
      <c r="C86" s="7"/>
      <c r="D86" s="7"/>
      <c r="E86" s="7"/>
      <c r="F86" s="7"/>
      <c r="G86" s="7"/>
      <c r="H86" s="51" t="s">
        <v>217</v>
      </c>
      <c r="I86" s="52"/>
      <c r="J86" s="27">
        <f>J12+J14+J20+J23+J27+J31+J33+J44+J49+J52+J57+J62+J66+J68+J70+J73+J75+J77+J79+J81+J84</f>
        <v>0</v>
      </c>
      <c r="K86" s="7"/>
      <c r="L86" s="7"/>
      <c r="Z86" s="28">
        <f>SUM(Z13:Z85)</f>
        <v>0</v>
      </c>
      <c r="AA86" s="28">
        <f>SUM(AA13:AA85)</f>
        <v>0</v>
      </c>
      <c r="AB86" s="28">
        <f>SUM(AB13:AB85)</f>
        <v>0</v>
      </c>
    </row>
  </sheetData>
  <mergeCells count="49">
    <mergeCell ref="A1:L1"/>
    <mergeCell ref="A2:C3"/>
    <mergeCell ref="A4:C5"/>
    <mergeCell ref="A6:C7"/>
    <mergeCell ref="A8:C9"/>
    <mergeCell ref="D2:D3"/>
    <mergeCell ref="D4:D5"/>
    <mergeCell ref="D6:D7"/>
    <mergeCell ref="D8:D9"/>
    <mergeCell ref="E2:F3"/>
    <mergeCell ref="E4:F5"/>
    <mergeCell ref="E6:F7"/>
    <mergeCell ref="E8:F9"/>
    <mergeCell ref="G2:H3"/>
    <mergeCell ref="G4:H5"/>
    <mergeCell ref="G6:H7"/>
    <mergeCell ref="G8:H9"/>
    <mergeCell ref="I2:I3"/>
    <mergeCell ref="I4:I5"/>
    <mergeCell ref="I6:I7"/>
    <mergeCell ref="I8:I9"/>
    <mergeCell ref="J2:L3"/>
    <mergeCell ref="J4:L5"/>
    <mergeCell ref="J6:L7"/>
    <mergeCell ref="J8:L9"/>
    <mergeCell ref="H10:J10"/>
    <mergeCell ref="K10:L10"/>
    <mergeCell ref="D12:G12"/>
    <mergeCell ref="D14:G14"/>
    <mergeCell ref="D20:G20"/>
    <mergeCell ref="D23:G23"/>
    <mergeCell ref="D27:G27"/>
    <mergeCell ref="D31:G31"/>
    <mergeCell ref="D33:G33"/>
    <mergeCell ref="D44:G44"/>
    <mergeCell ref="D49:G49"/>
    <mergeCell ref="D52:G52"/>
    <mergeCell ref="D57:G57"/>
    <mergeCell ref="D62:G62"/>
    <mergeCell ref="D66:G66"/>
    <mergeCell ref="D68:G68"/>
    <mergeCell ref="D70:G70"/>
    <mergeCell ref="D73:G73"/>
    <mergeCell ref="D75:G75"/>
    <mergeCell ref="D77:G77"/>
    <mergeCell ref="D79:G79"/>
    <mergeCell ref="D81:G81"/>
    <mergeCell ref="D84:G84"/>
    <mergeCell ref="H86:I86"/>
  </mergeCells>
  <pageMargins left="0.78740157499999996" right="0.78740157499999996" top="0.984251969" bottom="0.984251969" header="0.4921259845" footer="0.4921259845"/>
  <pageSetup paperSize="9" scale="7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view="pageBreakPreview" zoomScale="60" zoomScaleNormal="100" workbookViewId="0">
      <selection activeCell="F20" sqref="F20"/>
    </sheetView>
  </sheetViews>
  <sheetFormatPr defaultColWidth="11.44140625" defaultRowHeight="13.2" x14ac:dyDescent="0.25"/>
  <cols>
    <col min="1" max="2" width="9.109375" customWidth="1"/>
    <col min="3" max="3" width="13.33203125" customWidth="1"/>
    <col min="4" max="4" width="45.6640625" customWidth="1"/>
    <col min="5" max="5" width="9.88671875" customWidth="1"/>
    <col min="6" max="6" width="24.109375" customWidth="1"/>
    <col min="7" max="7" width="20.44140625" customWidth="1"/>
    <col min="8" max="8" width="44" customWidth="1"/>
  </cols>
  <sheetData>
    <row r="1" spans="1:9" ht="21.9" customHeight="1" x14ac:dyDescent="0.25">
      <c r="A1" s="67" t="s">
        <v>241</v>
      </c>
      <c r="B1" s="68"/>
      <c r="C1" s="68"/>
      <c r="D1" s="68"/>
      <c r="E1" s="68"/>
      <c r="F1" s="68"/>
      <c r="G1" s="68"/>
    </row>
    <row r="2" spans="1:9" x14ac:dyDescent="0.25">
      <c r="A2" s="69" t="s">
        <v>1</v>
      </c>
      <c r="B2" s="62"/>
      <c r="C2" s="51" t="s">
        <v>125</v>
      </c>
      <c r="D2" s="52"/>
      <c r="E2" s="58" t="s">
        <v>218</v>
      </c>
      <c r="F2" s="58" t="s">
        <v>223</v>
      </c>
      <c r="G2" s="63"/>
      <c r="H2" s="22"/>
    </row>
    <row r="3" spans="1:9" x14ac:dyDescent="0.25">
      <c r="A3" s="70"/>
      <c r="B3" s="59"/>
      <c r="C3" s="73"/>
      <c r="D3" s="73"/>
      <c r="E3" s="59"/>
      <c r="F3" s="59"/>
      <c r="G3" s="64"/>
      <c r="H3" s="22"/>
    </row>
    <row r="4" spans="1:9" x14ac:dyDescent="0.25">
      <c r="A4" s="71" t="s">
        <v>2</v>
      </c>
      <c r="B4" s="59"/>
      <c r="C4" s="60"/>
      <c r="D4" s="59"/>
      <c r="E4" s="60" t="s">
        <v>219</v>
      </c>
      <c r="F4" s="60"/>
      <c r="G4" s="64"/>
      <c r="H4" s="22"/>
    </row>
    <row r="5" spans="1:9" x14ac:dyDescent="0.25">
      <c r="A5" s="70"/>
      <c r="B5" s="59"/>
      <c r="C5" s="59"/>
      <c r="D5" s="59"/>
      <c r="E5" s="59"/>
      <c r="F5" s="59"/>
      <c r="G5" s="64"/>
      <c r="H5" s="22"/>
    </row>
    <row r="6" spans="1:9" x14ac:dyDescent="0.25">
      <c r="A6" s="71" t="s">
        <v>3</v>
      </c>
      <c r="B6" s="59"/>
      <c r="C6" s="60" t="s">
        <v>126</v>
      </c>
      <c r="D6" s="59"/>
      <c r="E6" s="60" t="s">
        <v>220</v>
      </c>
      <c r="F6" s="60"/>
      <c r="G6" s="64"/>
      <c r="H6" s="22"/>
    </row>
    <row r="7" spans="1:9" x14ac:dyDescent="0.25">
      <c r="A7" s="70"/>
      <c r="B7" s="59"/>
      <c r="C7" s="59"/>
      <c r="D7" s="59"/>
      <c r="E7" s="59"/>
      <c r="F7" s="59"/>
      <c r="G7" s="64"/>
      <c r="H7" s="22"/>
    </row>
    <row r="8" spans="1:9" x14ac:dyDescent="0.25">
      <c r="A8" s="71" t="s">
        <v>221</v>
      </c>
      <c r="B8" s="59"/>
      <c r="C8" s="60"/>
      <c r="D8" s="59"/>
      <c r="E8" s="60" t="s">
        <v>205</v>
      </c>
      <c r="F8" s="74"/>
      <c r="G8" s="74"/>
      <c r="H8" s="22"/>
    </row>
    <row r="9" spans="1:9" x14ac:dyDescent="0.25">
      <c r="A9" s="72"/>
      <c r="B9" s="61"/>
      <c r="C9" s="61"/>
      <c r="D9" s="61"/>
      <c r="E9" s="61"/>
      <c r="F9" s="75"/>
      <c r="G9" s="75"/>
      <c r="H9" s="34"/>
    </row>
    <row r="10" spans="1:9" x14ac:dyDescent="0.25">
      <c r="A10" s="29" t="s">
        <v>6</v>
      </c>
      <c r="B10" s="31" t="s">
        <v>60</v>
      </c>
      <c r="C10" s="31" t="s">
        <v>61</v>
      </c>
      <c r="D10" s="31" t="s">
        <v>127</v>
      </c>
      <c r="E10" s="31" t="s">
        <v>206</v>
      </c>
      <c r="F10" s="31" t="s">
        <v>242</v>
      </c>
      <c r="G10" s="32" t="s">
        <v>212</v>
      </c>
      <c r="H10" s="35" t="s">
        <v>243</v>
      </c>
      <c r="I10" s="23"/>
    </row>
    <row r="11" spans="1:9" x14ac:dyDescent="0.25">
      <c r="A11" s="30" t="s">
        <v>7</v>
      </c>
      <c r="B11" s="30"/>
      <c r="C11" s="30" t="s">
        <v>62</v>
      </c>
      <c r="D11" s="30" t="s">
        <v>129</v>
      </c>
      <c r="E11" s="30" t="s">
        <v>207</v>
      </c>
      <c r="F11" s="30"/>
      <c r="G11" s="33">
        <v>8</v>
      </c>
      <c r="H11" s="36"/>
    </row>
    <row r="12" spans="1:9" x14ac:dyDescent="0.25">
      <c r="A12" s="4" t="s">
        <v>8</v>
      </c>
      <c r="B12" s="4"/>
      <c r="C12" s="4" t="s">
        <v>63</v>
      </c>
      <c r="D12" s="4" t="s">
        <v>131</v>
      </c>
      <c r="E12" s="4" t="s">
        <v>208</v>
      </c>
      <c r="F12" s="4"/>
      <c r="G12" s="13">
        <v>70.88</v>
      </c>
    </row>
    <row r="13" spans="1:9" x14ac:dyDescent="0.25">
      <c r="A13" s="4" t="s">
        <v>9</v>
      </c>
      <c r="B13" s="4"/>
      <c r="C13" s="4" t="s">
        <v>64</v>
      </c>
      <c r="D13" s="4" t="s">
        <v>132</v>
      </c>
      <c r="E13" s="4" t="s">
        <v>208</v>
      </c>
      <c r="F13" s="4"/>
      <c r="G13" s="13">
        <v>25.62</v>
      </c>
    </row>
    <row r="14" spans="1:9" x14ac:dyDescent="0.25">
      <c r="A14" s="4" t="s">
        <v>10</v>
      </c>
      <c r="B14" s="4"/>
      <c r="C14" s="4" t="s">
        <v>65</v>
      </c>
      <c r="D14" s="4" t="s">
        <v>133</v>
      </c>
      <c r="E14" s="4" t="s">
        <v>208</v>
      </c>
      <c r="F14" s="4"/>
      <c r="G14" s="13">
        <v>70.88</v>
      </c>
    </row>
    <row r="15" spans="1:9" x14ac:dyDescent="0.25">
      <c r="A15" s="4" t="s">
        <v>11</v>
      </c>
      <c r="B15" s="4"/>
      <c r="C15" s="4" t="s">
        <v>66</v>
      </c>
      <c r="D15" s="4" t="s">
        <v>134</v>
      </c>
      <c r="E15" s="4" t="s">
        <v>208</v>
      </c>
      <c r="F15" s="4"/>
      <c r="G15" s="13">
        <v>25.62</v>
      </c>
    </row>
    <row r="16" spans="1:9" x14ac:dyDescent="0.25">
      <c r="A16" s="4" t="s">
        <v>12</v>
      </c>
      <c r="B16" s="4"/>
      <c r="C16" s="4" t="s">
        <v>67</v>
      </c>
      <c r="D16" s="4" t="s">
        <v>135</v>
      </c>
      <c r="E16" s="4" t="s">
        <v>207</v>
      </c>
      <c r="F16" s="4"/>
      <c r="G16" s="13">
        <v>86</v>
      </c>
    </row>
    <row r="17" spans="1:8" x14ac:dyDescent="0.25">
      <c r="A17" s="4" t="s">
        <v>13</v>
      </c>
      <c r="B17" s="4"/>
      <c r="C17" s="4" t="s">
        <v>68</v>
      </c>
      <c r="D17" s="4" t="s">
        <v>137</v>
      </c>
      <c r="E17" s="4" t="s">
        <v>208</v>
      </c>
      <c r="F17" s="4"/>
      <c r="G17" s="13">
        <v>70.88</v>
      </c>
    </row>
    <row r="18" spans="1:8" x14ac:dyDescent="0.25">
      <c r="A18" s="4" t="s">
        <v>14</v>
      </c>
      <c r="B18" s="4"/>
      <c r="C18" s="4" t="s">
        <v>69</v>
      </c>
      <c r="D18" s="4" t="s">
        <v>138</v>
      </c>
      <c r="E18" s="4" t="s">
        <v>208</v>
      </c>
      <c r="F18" s="4"/>
      <c r="G18" s="13">
        <v>25.62</v>
      </c>
    </row>
    <row r="19" spans="1:8" x14ac:dyDescent="0.25">
      <c r="A19" s="4" t="s">
        <v>15</v>
      </c>
      <c r="B19" s="4"/>
      <c r="C19" s="4" t="s">
        <v>70</v>
      </c>
      <c r="D19" s="4" t="s">
        <v>140</v>
      </c>
      <c r="E19" s="4" t="s">
        <v>208</v>
      </c>
      <c r="F19" s="4"/>
      <c r="G19" s="13">
        <v>70.88</v>
      </c>
    </row>
    <row r="20" spans="1:8" x14ac:dyDescent="0.25">
      <c r="A20" s="4" t="s">
        <v>16</v>
      </c>
      <c r="B20" s="4"/>
      <c r="C20" s="4" t="s">
        <v>71</v>
      </c>
      <c r="D20" s="4" t="s">
        <v>141</v>
      </c>
      <c r="E20" s="4" t="s">
        <v>208</v>
      </c>
      <c r="F20" s="4"/>
      <c r="G20" s="13">
        <v>25.62</v>
      </c>
    </row>
    <row r="21" spans="1:8" x14ac:dyDescent="0.25">
      <c r="A21" s="4" t="s">
        <v>17</v>
      </c>
      <c r="B21" s="4"/>
      <c r="C21" s="4" t="s">
        <v>72</v>
      </c>
      <c r="D21" s="4" t="s">
        <v>142</v>
      </c>
      <c r="E21" s="4" t="s">
        <v>208</v>
      </c>
      <c r="F21" s="4"/>
      <c r="G21" s="13">
        <v>14.6</v>
      </c>
    </row>
    <row r="22" spans="1:8" x14ac:dyDescent="0.25">
      <c r="A22" s="4" t="s">
        <v>18</v>
      </c>
      <c r="B22" s="4"/>
      <c r="C22" s="4" t="s">
        <v>73</v>
      </c>
      <c r="D22" s="4" t="s">
        <v>144</v>
      </c>
      <c r="E22" s="4" t="s">
        <v>209</v>
      </c>
      <c r="F22" s="4"/>
      <c r="G22" s="13">
        <v>1055.49</v>
      </c>
    </row>
    <row r="23" spans="1:8" x14ac:dyDescent="0.25">
      <c r="A23" s="4" t="s">
        <v>19</v>
      </c>
      <c r="B23" s="4"/>
      <c r="C23" s="4" t="s">
        <v>74</v>
      </c>
      <c r="D23" s="4" t="s">
        <v>145</v>
      </c>
      <c r="E23" s="4" t="s">
        <v>209</v>
      </c>
      <c r="F23" s="4"/>
      <c r="G23" s="13">
        <v>52.5</v>
      </c>
    </row>
    <row r="24" spans="1:8" x14ac:dyDescent="0.25">
      <c r="A24" s="4" t="s">
        <v>20</v>
      </c>
      <c r="B24" s="4"/>
      <c r="C24" s="4" t="s">
        <v>75</v>
      </c>
      <c r="D24" s="4" t="s">
        <v>146</v>
      </c>
      <c r="E24" s="4" t="s">
        <v>209</v>
      </c>
      <c r="F24" s="4"/>
      <c r="G24" s="13">
        <v>52.5</v>
      </c>
    </row>
    <row r="25" spans="1:8" x14ac:dyDescent="0.25">
      <c r="A25" s="4" t="s">
        <v>21</v>
      </c>
      <c r="B25" s="4"/>
      <c r="C25" s="4" t="s">
        <v>76</v>
      </c>
      <c r="D25" s="4" t="s">
        <v>148</v>
      </c>
      <c r="E25" s="4" t="s">
        <v>210</v>
      </c>
      <c r="F25" s="4"/>
      <c r="G25" s="13">
        <v>213.5</v>
      </c>
      <c r="H25" s="37" t="s">
        <v>244</v>
      </c>
    </row>
    <row r="26" spans="1:8" x14ac:dyDescent="0.25">
      <c r="A26" s="4" t="s">
        <v>22</v>
      </c>
      <c r="B26" s="4"/>
      <c r="C26" s="4" t="s">
        <v>77</v>
      </c>
      <c r="D26" s="4" t="s">
        <v>150</v>
      </c>
      <c r="E26" s="4" t="s">
        <v>208</v>
      </c>
      <c r="F26" s="4"/>
      <c r="G26" s="13">
        <v>10.62</v>
      </c>
    </row>
    <row r="27" spans="1:8" x14ac:dyDescent="0.25">
      <c r="A27" s="4" t="s">
        <v>23</v>
      </c>
      <c r="B27" s="4"/>
      <c r="C27" s="4" t="s">
        <v>78</v>
      </c>
      <c r="D27" s="4" t="s">
        <v>151</v>
      </c>
      <c r="E27" s="4" t="s">
        <v>209</v>
      </c>
      <c r="F27" s="4"/>
      <c r="G27" s="13">
        <v>26.55</v>
      </c>
    </row>
    <row r="28" spans="1:8" x14ac:dyDescent="0.25">
      <c r="A28" s="4" t="s">
        <v>24</v>
      </c>
      <c r="B28" s="4"/>
      <c r="C28" s="4" t="s">
        <v>79</v>
      </c>
      <c r="D28" s="4" t="s">
        <v>152</v>
      </c>
      <c r="E28" s="4" t="s">
        <v>209</v>
      </c>
      <c r="F28" s="4"/>
      <c r="G28" s="13">
        <v>26.55</v>
      </c>
    </row>
    <row r="29" spans="1:8" x14ac:dyDescent="0.25">
      <c r="A29" s="4" t="s">
        <v>25</v>
      </c>
      <c r="B29" s="4"/>
      <c r="C29" s="4" t="s">
        <v>80</v>
      </c>
      <c r="D29" s="4" t="s">
        <v>153</v>
      </c>
      <c r="E29" s="4" t="s">
        <v>209</v>
      </c>
      <c r="F29" s="4"/>
      <c r="G29" s="13">
        <v>17.7</v>
      </c>
      <c r="H29" s="37" t="s">
        <v>245</v>
      </c>
    </row>
    <row r="30" spans="1:8" x14ac:dyDescent="0.25">
      <c r="A30" s="4" t="s">
        <v>26</v>
      </c>
      <c r="B30" s="4"/>
      <c r="C30" s="4" t="s">
        <v>81</v>
      </c>
      <c r="D30" s="4" t="s">
        <v>154</v>
      </c>
      <c r="E30" s="4" t="s">
        <v>208</v>
      </c>
      <c r="F30" s="4"/>
      <c r="G30" s="13">
        <v>8.4</v>
      </c>
    </row>
    <row r="31" spans="1:8" x14ac:dyDescent="0.25">
      <c r="A31" s="4" t="s">
        <v>27</v>
      </c>
      <c r="B31" s="4"/>
      <c r="C31" s="4" t="s">
        <v>82</v>
      </c>
      <c r="D31" s="4" t="s">
        <v>155</v>
      </c>
      <c r="E31" s="4" t="s">
        <v>209</v>
      </c>
      <c r="F31" s="4"/>
      <c r="G31" s="13">
        <v>6.5</v>
      </c>
    </row>
    <row r="32" spans="1:8" x14ac:dyDescent="0.25">
      <c r="A32" s="4" t="s">
        <v>28</v>
      </c>
      <c r="B32" s="4"/>
      <c r="C32" s="4" t="s">
        <v>83</v>
      </c>
      <c r="D32" s="4" t="s">
        <v>156</v>
      </c>
      <c r="E32" s="4" t="s">
        <v>209</v>
      </c>
      <c r="F32" s="4"/>
      <c r="G32" s="13">
        <v>6.5</v>
      </c>
    </row>
    <row r="33" spans="1:8" x14ac:dyDescent="0.25">
      <c r="A33" s="4" t="s">
        <v>29</v>
      </c>
      <c r="B33" s="4"/>
      <c r="C33" s="4" t="s">
        <v>84</v>
      </c>
      <c r="D33" s="4" t="s">
        <v>157</v>
      </c>
      <c r="E33" s="4" t="s">
        <v>211</v>
      </c>
      <c r="F33" s="4"/>
      <c r="G33" s="13">
        <v>0.20300000000000001</v>
      </c>
      <c r="H33" s="37" t="s">
        <v>246</v>
      </c>
    </row>
    <row r="34" spans="1:8" x14ac:dyDescent="0.25">
      <c r="A34" s="4" t="s">
        <v>30</v>
      </c>
      <c r="B34" s="4"/>
      <c r="C34" s="4" t="s">
        <v>85</v>
      </c>
      <c r="D34" s="4" t="s">
        <v>158</v>
      </c>
      <c r="E34" s="4" t="s">
        <v>209</v>
      </c>
      <c r="F34" s="4"/>
      <c r="G34" s="13">
        <v>45</v>
      </c>
      <c r="H34" s="37" t="s">
        <v>247</v>
      </c>
    </row>
    <row r="35" spans="1:8" x14ac:dyDescent="0.25">
      <c r="A35" s="4" t="s">
        <v>31</v>
      </c>
      <c r="B35" s="4"/>
      <c r="C35" s="4" t="s">
        <v>86</v>
      </c>
      <c r="D35" s="4" t="s">
        <v>159</v>
      </c>
      <c r="E35" s="4" t="s">
        <v>208</v>
      </c>
      <c r="F35" s="4"/>
      <c r="G35" s="13">
        <v>8.4</v>
      </c>
    </row>
    <row r="36" spans="1:8" x14ac:dyDescent="0.25">
      <c r="A36" s="4" t="s">
        <v>32</v>
      </c>
      <c r="B36" s="4"/>
      <c r="C36" s="4" t="s">
        <v>87</v>
      </c>
      <c r="D36" s="4" t="s">
        <v>161</v>
      </c>
      <c r="E36" s="4" t="s">
        <v>209</v>
      </c>
      <c r="F36" s="4"/>
      <c r="G36" s="13">
        <v>22.12</v>
      </c>
      <c r="H36" s="37" t="s">
        <v>248</v>
      </c>
    </row>
    <row r="37" spans="1:8" x14ac:dyDescent="0.25">
      <c r="A37" s="4" t="s">
        <v>33</v>
      </c>
      <c r="B37" s="4"/>
      <c r="C37" s="4" t="s">
        <v>88</v>
      </c>
      <c r="D37" s="4" t="s">
        <v>162</v>
      </c>
      <c r="E37" s="4" t="s">
        <v>209</v>
      </c>
      <c r="F37" s="4"/>
      <c r="G37" s="13">
        <v>73</v>
      </c>
    </row>
    <row r="38" spans="1:8" x14ac:dyDescent="0.25">
      <c r="A38" s="4" t="s">
        <v>34</v>
      </c>
      <c r="B38" s="4"/>
      <c r="C38" s="4" t="s">
        <v>89</v>
      </c>
      <c r="D38" s="4" t="s">
        <v>163</v>
      </c>
      <c r="E38" s="4" t="s">
        <v>211</v>
      </c>
      <c r="F38" s="4"/>
      <c r="G38" s="13">
        <v>1.0649999999999999</v>
      </c>
    </row>
    <row r="39" spans="1:8" x14ac:dyDescent="0.25">
      <c r="A39" s="4" t="s">
        <v>35</v>
      </c>
      <c r="B39" s="4"/>
      <c r="C39" s="4" t="s">
        <v>90</v>
      </c>
      <c r="D39" s="4" t="s">
        <v>164</v>
      </c>
      <c r="E39" s="4" t="s">
        <v>208</v>
      </c>
      <c r="F39" s="4"/>
      <c r="G39" s="13">
        <v>10.95</v>
      </c>
    </row>
    <row r="40" spans="1:8" x14ac:dyDescent="0.25">
      <c r="A40" s="4" t="s">
        <v>36</v>
      </c>
      <c r="B40" s="4"/>
      <c r="C40" s="4" t="s">
        <v>91</v>
      </c>
      <c r="D40" s="4" t="s">
        <v>166</v>
      </c>
      <c r="E40" s="4" t="s">
        <v>207</v>
      </c>
      <c r="F40" s="4"/>
      <c r="G40" s="13">
        <v>41</v>
      </c>
    </row>
    <row r="41" spans="1:8" x14ac:dyDescent="0.25">
      <c r="A41" s="4" t="s">
        <v>37</v>
      </c>
      <c r="B41" s="4"/>
      <c r="C41" s="4" t="s">
        <v>92</v>
      </c>
      <c r="D41" s="4" t="s">
        <v>167</v>
      </c>
      <c r="E41" s="4" t="s">
        <v>207</v>
      </c>
      <c r="F41" s="4"/>
      <c r="G41" s="13">
        <v>14</v>
      </c>
    </row>
    <row r="42" spans="1:8" x14ac:dyDescent="0.25">
      <c r="A42" s="4" t="s">
        <v>38</v>
      </c>
      <c r="B42" s="4"/>
      <c r="C42" s="4" t="s">
        <v>93</v>
      </c>
      <c r="D42" s="4" t="s">
        <v>169</v>
      </c>
      <c r="E42" s="4" t="s">
        <v>209</v>
      </c>
      <c r="F42" s="4"/>
      <c r="G42" s="13">
        <v>5.9</v>
      </c>
    </row>
    <row r="43" spans="1:8" x14ac:dyDescent="0.25">
      <c r="A43" s="4" t="s">
        <v>39</v>
      </c>
      <c r="B43" s="4"/>
      <c r="C43" s="4" t="s">
        <v>94</v>
      </c>
      <c r="D43" s="4" t="s">
        <v>170</v>
      </c>
      <c r="E43" s="4" t="s">
        <v>209</v>
      </c>
      <c r="F43" s="4"/>
      <c r="G43" s="13">
        <v>5.9</v>
      </c>
    </row>
    <row r="44" spans="1:8" x14ac:dyDescent="0.25">
      <c r="A44" s="4" t="s">
        <v>40</v>
      </c>
      <c r="B44" s="4"/>
      <c r="C44" s="4" t="s">
        <v>95</v>
      </c>
      <c r="D44" s="4" t="s">
        <v>171</v>
      </c>
      <c r="E44" s="4" t="s">
        <v>208</v>
      </c>
      <c r="F44" s="4"/>
      <c r="G44" s="13">
        <v>3.2450000000000001</v>
      </c>
    </row>
    <row r="45" spans="1:8" x14ac:dyDescent="0.25">
      <c r="A45" s="4" t="s">
        <v>41</v>
      </c>
      <c r="B45" s="4"/>
      <c r="C45" s="4" t="s">
        <v>96</v>
      </c>
      <c r="D45" s="4" t="s">
        <v>172</v>
      </c>
      <c r="E45" s="4" t="s">
        <v>211</v>
      </c>
      <c r="F45" s="4"/>
      <c r="G45" s="13">
        <v>0.158</v>
      </c>
      <c r="H45" s="37" t="s">
        <v>249</v>
      </c>
    </row>
    <row r="46" spans="1:8" x14ac:dyDescent="0.25">
      <c r="A46" s="4" t="s">
        <v>42</v>
      </c>
      <c r="B46" s="4"/>
      <c r="C46" s="4" t="s">
        <v>98</v>
      </c>
      <c r="D46" s="4" t="s">
        <v>174</v>
      </c>
      <c r="E46" s="4" t="s">
        <v>209</v>
      </c>
      <c r="F46" s="4"/>
      <c r="G46" s="13">
        <v>1306.58</v>
      </c>
    </row>
    <row r="47" spans="1:8" x14ac:dyDescent="0.25">
      <c r="A47" s="4" t="s">
        <v>43</v>
      </c>
      <c r="B47" s="4"/>
      <c r="C47" s="4" t="s">
        <v>99</v>
      </c>
      <c r="D47" s="4" t="s">
        <v>175</v>
      </c>
      <c r="E47" s="4" t="s">
        <v>209</v>
      </c>
      <c r="F47" s="4"/>
      <c r="G47" s="13">
        <v>235.92</v>
      </c>
    </row>
    <row r="48" spans="1:8" x14ac:dyDescent="0.25">
      <c r="A48" s="4" t="s">
        <v>44</v>
      </c>
      <c r="B48" s="4"/>
      <c r="C48" s="4" t="s">
        <v>100</v>
      </c>
      <c r="D48" s="4" t="s">
        <v>176</v>
      </c>
      <c r="E48" s="4" t="s">
        <v>209</v>
      </c>
      <c r="F48" s="4"/>
      <c r="G48" s="13">
        <v>177.04</v>
      </c>
    </row>
    <row r="49" spans="1:8" x14ac:dyDescent="0.25">
      <c r="A49" s="4" t="s">
        <v>45</v>
      </c>
      <c r="B49" s="4"/>
      <c r="C49" s="4" t="s">
        <v>101</v>
      </c>
      <c r="D49" s="4" t="s">
        <v>177</v>
      </c>
      <c r="E49" s="4" t="s">
        <v>209</v>
      </c>
      <c r="F49" s="4"/>
      <c r="G49" s="13">
        <v>172.04</v>
      </c>
    </row>
    <row r="50" spans="1:8" x14ac:dyDescent="0.25">
      <c r="A50" s="4" t="s">
        <v>46</v>
      </c>
      <c r="B50" s="4"/>
      <c r="C50" s="4" t="s">
        <v>103</v>
      </c>
      <c r="D50" s="4" t="s">
        <v>179</v>
      </c>
      <c r="E50" s="4" t="s">
        <v>209</v>
      </c>
      <c r="F50" s="4"/>
      <c r="G50" s="13">
        <v>583.65</v>
      </c>
    </row>
    <row r="51" spans="1:8" x14ac:dyDescent="0.25">
      <c r="A51" s="4" t="s">
        <v>47</v>
      </c>
      <c r="B51" s="4"/>
      <c r="C51" s="4" t="s">
        <v>104</v>
      </c>
      <c r="D51" s="4" t="s">
        <v>180</v>
      </c>
      <c r="E51" s="4" t="s">
        <v>209</v>
      </c>
      <c r="F51" s="4"/>
      <c r="G51" s="13">
        <v>172.04</v>
      </c>
    </row>
    <row r="52" spans="1:8" x14ac:dyDescent="0.25">
      <c r="A52" s="4" t="s">
        <v>48</v>
      </c>
      <c r="B52" s="4"/>
      <c r="C52" s="4" t="s">
        <v>105</v>
      </c>
      <c r="D52" s="4" t="s">
        <v>181</v>
      </c>
      <c r="E52" s="4" t="s">
        <v>209</v>
      </c>
      <c r="F52" s="4"/>
      <c r="G52" s="13">
        <v>167.04</v>
      </c>
    </row>
    <row r="53" spans="1:8" x14ac:dyDescent="0.25">
      <c r="A53" s="4" t="s">
        <v>49</v>
      </c>
      <c r="B53" s="4"/>
      <c r="C53" s="4" t="s">
        <v>107</v>
      </c>
      <c r="D53" s="4" t="s">
        <v>183</v>
      </c>
      <c r="E53" s="4" t="s">
        <v>209</v>
      </c>
      <c r="F53" s="4"/>
      <c r="G53" s="13">
        <v>583.65</v>
      </c>
    </row>
    <row r="54" spans="1:8" x14ac:dyDescent="0.25">
      <c r="A54" s="4" t="s">
        <v>50</v>
      </c>
      <c r="B54" s="4"/>
      <c r="C54" s="4" t="s">
        <v>109</v>
      </c>
      <c r="D54" s="4" t="s">
        <v>185</v>
      </c>
      <c r="E54" s="4" t="s">
        <v>209</v>
      </c>
      <c r="F54" s="4"/>
      <c r="G54" s="13">
        <v>89.65</v>
      </c>
      <c r="H54" s="37" t="s">
        <v>250</v>
      </c>
    </row>
    <row r="55" spans="1:8" x14ac:dyDescent="0.25">
      <c r="A55" s="4" t="s">
        <v>51</v>
      </c>
      <c r="B55" s="4"/>
      <c r="C55" s="4" t="s">
        <v>111</v>
      </c>
      <c r="D55" s="4" t="s">
        <v>187</v>
      </c>
      <c r="E55" s="4" t="s">
        <v>210</v>
      </c>
      <c r="F55" s="4"/>
      <c r="G55" s="13">
        <v>154.5</v>
      </c>
    </row>
    <row r="56" spans="1:8" x14ac:dyDescent="0.25">
      <c r="A56" s="4" t="s">
        <v>52</v>
      </c>
      <c r="B56" s="4"/>
      <c r="C56" s="4" t="s">
        <v>112</v>
      </c>
      <c r="D56" s="4" t="s">
        <v>188</v>
      </c>
      <c r="E56" s="4" t="s">
        <v>207</v>
      </c>
      <c r="F56" s="4"/>
      <c r="G56" s="13">
        <v>1</v>
      </c>
    </row>
    <row r="57" spans="1:8" x14ac:dyDescent="0.25">
      <c r="A57" s="4" t="s">
        <v>53</v>
      </c>
      <c r="B57" s="4"/>
      <c r="C57" s="4" t="s">
        <v>114</v>
      </c>
      <c r="D57" s="4" t="s">
        <v>190</v>
      </c>
      <c r="E57" s="4" t="s">
        <v>210</v>
      </c>
      <c r="F57" s="4"/>
      <c r="G57" s="13">
        <v>125</v>
      </c>
    </row>
    <row r="58" spans="1:8" x14ac:dyDescent="0.25">
      <c r="A58" s="4" t="s">
        <v>54</v>
      </c>
      <c r="B58" s="4"/>
      <c r="C58" s="4" t="s">
        <v>116</v>
      </c>
      <c r="D58" s="4" t="s">
        <v>192</v>
      </c>
      <c r="E58" s="4" t="s">
        <v>208</v>
      </c>
      <c r="F58" s="4"/>
      <c r="G58" s="13">
        <v>11.47</v>
      </c>
    </row>
    <row r="59" spans="1:8" x14ac:dyDescent="0.25">
      <c r="A59" s="4" t="s">
        <v>55</v>
      </c>
      <c r="B59" s="4"/>
      <c r="C59" s="4" t="s">
        <v>118</v>
      </c>
      <c r="D59" s="4" t="s">
        <v>194</v>
      </c>
      <c r="E59" s="4" t="s">
        <v>211</v>
      </c>
      <c r="F59" s="4"/>
      <c r="G59" s="13">
        <v>1219.72</v>
      </c>
    </row>
    <row r="60" spans="1:8" x14ac:dyDescent="0.25">
      <c r="A60" s="4" t="s">
        <v>56</v>
      </c>
      <c r="B60" s="4"/>
      <c r="C60" s="4" t="s">
        <v>120</v>
      </c>
      <c r="D60" s="4" t="s">
        <v>196</v>
      </c>
      <c r="E60" s="4" t="s">
        <v>207</v>
      </c>
      <c r="F60" s="4"/>
      <c r="G60" s="13">
        <v>654</v>
      </c>
    </row>
    <row r="61" spans="1:8" x14ac:dyDescent="0.25">
      <c r="A61" s="4" t="s">
        <v>57</v>
      </c>
      <c r="B61" s="4"/>
      <c r="C61" s="4" t="s">
        <v>122</v>
      </c>
      <c r="D61" s="4" t="s">
        <v>198</v>
      </c>
      <c r="E61" s="4" t="s">
        <v>211</v>
      </c>
      <c r="F61" s="4"/>
      <c r="G61" s="13">
        <v>22.36</v>
      </c>
    </row>
    <row r="62" spans="1:8" x14ac:dyDescent="0.25">
      <c r="A62" s="4" t="s">
        <v>58</v>
      </c>
      <c r="B62" s="4"/>
      <c r="C62" s="4" t="s">
        <v>123</v>
      </c>
      <c r="D62" s="4" t="s">
        <v>199</v>
      </c>
      <c r="E62" s="4" t="s">
        <v>211</v>
      </c>
      <c r="F62" s="4"/>
      <c r="G62" s="13">
        <v>22.36</v>
      </c>
    </row>
    <row r="63" spans="1:8" x14ac:dyDescent="0.25">
      <c r="A63" s="4" t="s">
        <v>59</v>
      </c>
      <c r="B63" s="4"/>
      <c r="C63" s="4" t="s">
        <v>124</v>
      </c>
      <c r="D63" s="4" t="s">
        <v>201</v>
      </c>
      <c r="E63" s="4" t="s">
        <v>207</v>
      </c>
      <c r="F63" s="4"/>
      <c r="G63" s="13">
        <v>654</v>
      </c>
    </row>
  </sheetData>
  <mergeCells count="18">
    <mergeCell ref="A1:G1"/>
    <mergeCell ref="A2:B3"/>
    <mergeCell ref="A4:B5"/>
    <mergeCell ref="A6:B7"/>
    <mergeCell ref="A8:B9"/>
    <mergeCell ref="C2:D3"/>
    <mergeCell ref="C4:D5"/>
    <mergeCell ref="C6:D7"/>
    <mergeCell ref="C8:D9"/>
    <mergeCell ref="E2:E3"/>
    <mergeCell ref="E4:E5"/>
    <mergeCell ref="E6:E7"/>
    <mergeCell ref="E8:E9"/>
    <mergeCell ref="F2:G3"/>
    <mergeCell ref="F4:G5"/>
    <mergeCell ref="F6:G7"/>
    <mergeCell ref="F8:F9"/>
    <mergeCell ref="G8:G9"/>
  </mergeCells>
  <pageMargins left="0.78740157499999996" right="0.78740157499999996" top="0.984251969" bottom="0.984251969" header="0.4921259845" footer="0.4921259845"/>
  <pageSetup paperSize="9" scale="70" orientation="landscape" r:id="rId1"/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J5" sqref="J5"/>
    </sheetView>
  </sheetViews>
  <sheetFormatPr defaultColWidth="11.44140625" defaultRowHeight="13.2" x14ac:dyDescent="0.25"/>
  <cols>
    <col min="1" max="1" width="9.109375" customWidth="1"/>
    <col min="2" max="2" width="11.88671875" customWidth="1"/>
    <col min="3" max="3" width="21.6640625" customWidth="1"/>
    <col min="4" max="4" width="8.88671875" customWidth="1"/>
    <col min="5" max="5" width="14" customWidth="1"/>
    <col min="6" max="6" width="22.5546875" customWidth="1"/>
    <col min="7" max="7" width="9.109375" customWidth="1"/>
    <col min="8" max="8" width="11.88671875" customWidth="1"/>
    <col min="9" max="9" width="22.44140625" customWidth="1"/>
  </cols>
  <sheetData>
    <row r="1" spans="1:10" ht="28.65" customHeight="1" x14ac:dyDescent="0.25">
      <c r="A1" s="98" t="s">
        <v>251</v>
      </c>
      <c r="B1" s="99"/>
      <c r="C1" s="99"/>
      <c r="D1" s="99"/>
      <c r="E1" s="99"/>
      <c r="F1" s="99"/>
      <c r="G1" s="99"/>
      <c r="H1" s="99"/>
      <c r="I1" s="99"/>
    </row>
    <row r="2" spans="1:10" x14ac:dyDescent="0.25">
      <c r="A2" s="69" t="s">
        <v>1</v>
      </c>
      <c r="B2" s="62"/>
      <c r="C2" s="51" t="s">
        <v>125</v>
      </c>
      <c r="D2" s="52"/>
      <c r="E2" s="58" t="s">
        <v>218</v>
      </c>
      <c r="F2" s="58" t="s">
        <v>223</v>
      </c>
      <c r="G2" s="62"/>
      <c r="H2" s="58" t="s">
        <v>282</v>
      </c>
      <c r="I2" s="93" t="s">
        <v>286</v>
      </c>
      <c r="J2" s="22"/>
    </row>
    <row r="3" spans="1:10" x14ac:dyDescent="0.25">
      <c r="A3" s="70"/>
      <c r="B3" s="59"/>
      <c r="C3" s="73"/>
      <c r="D3" s="73"/>
      <c r="E3" s="59"/>
      <c r="F3" s="59"/>
      <c r="G3" s="59"/>
      <c r="H3" s="59"/>
      <c r="I3" s="64"/>
      <c r="J3" s="22"/>
    </row>
    <row r="4" spans="1:10" x14ac:dyDescent="0.25">
      <c r="A4" s="71" t="s">
        <v>2</v>
      </c>
      <c r="B4" s="59"/>
      <c r="C4" s="60"/>
      <c r="D4" s="59"/>
      <c r="E4" s="60" t="s">
        <v>219</v>
      </c>
      <c r="F4" s="60"/>
      <c r="G4" s="59"/>
      <c r="H4" s="60" t="s">
        <v>282</v>
      </c>
      <c r="I4" s="94"/>
      <c r="J4" s="22"/>
    </row>
    <row r="5" spans="1:10" x14ac:dyDescent="0.25">
      <c r="A5" s="70"/>
      <c r="B5" s="59"/>
      <c r="C5" s="59"/>
      <c r="D5" s="59"/>
      <c r="E5" s="59"/>
      <c r="F5" s="59"/>
      <c r="G5" s="59"/>
      <c r="H5" s="59"/>
      <c r="I5" s="64"/>
      <c r="J5" s="22"/>
    </row>
    <row r="6" spans="1:10" x14ac:dyDescent="0.25">
      <c r="A6" s="71" t="s">
        <v>3</v>
      </c>
      <c r="B6" s="59"/>
      <c r="C6" s="60" t="s">
        <v>126</v>
      </c>
      <c r="D6" s="59"/>
      <c r="E6" s="60" t="s">
        <v>220</v>
      </c>
      <c r="F6" s="60"/>
      <c r="G6" s="59"/>
      <c r="H6" s="60" t="s">
        <v>282</v>
      </c>
      <c r="I6" s="94"/>
      <c r="J6" s="22"/>
    </row>
    <row r="7" spans="1:10" x14ac:dyDescent="0.25">
      <c r="A7" s="70"/>
      <c r="B7" s="59"/>
      <c r="C7" s="59"/>
      <c r="D7" s="59"/>
      <c r="E7" s="59"/>
      <c r="F7" s="59"/>
      <c r="G7" s="59"/>
      <c r="H7" s="59"/>
      <c r="I7" s="64"/>
      <c r="J7" s="22"/>
    </row>
    <row r="8" spans="1:10" x14ac:dyDescent="0.25">
      <c r="A8" s="71" t="s">
        <v>203</v>
      </c>
      <c r="B8" s="59"/>
      <c r="C8" s="66"/>
      <c r="D8" s="59"/>
      <c r="E8" s="60" t="s">
        <v>204</v>
      </c>
      <c r="F8" s="66"/>
      <c r="G8" s="59"/>
      <c r="H8" s="60" t="s">
        <v>283</v>
      </c>
      <c r="I8" s="94"/>
      <c r="J8" s="22"/>
    </row>
    <row r="9" spans="1:10" x14ac:dyDescent="0.25">
      <c r="A9" s="70"/>
      <c r="B9" s="59"/>
      <c r="C9" s="59"/>
      <c r="D9" s="59"/>
      <c r="E9" s="59"/>
      <c r="F9" s="59"/>
      <c r="G9" s="59"/>
      <c r="H9" s="59"/>
      <c r="I9" s="64"/>
      <c r="J9" s="22"/>
    </row>
    <row r="10" spans="1:10" x14ac:dyDescent="0.25">
      <c r="A10" s="71" t="s">
        <v>4</v>
      </c>
      <c r="B10" s="59"/>
      <c r="C10" s="60"/>
      <c r="D10" s="59"/>
      <c r="E10" s="60" t="s">
        <v>221</v>
      </c>
      <c r="F10" s="60"/>
      <c r="G10" s="59"/>
      <c r="H10" s="60" t="s">
        <v>284</v>
      </c>
      <c r="I10" s="74"/>
      <c r="J10" s="22"/>
    </row>
    <row r="11" spans="1:10" x14ac:dyDescent="0.25">
      <c r="A11" s="100"/>
      <c r="B11" s="97"/>
      <c r="C11" s="97"/>
      <c r="D11" s="97"/>
      <c r="E11" s="97"/>
      <c r="F11" s="97"/>
      <c r="G11" s="97"/>
      <c r="H11" s="97"/>
      <c r="I11" s="75"/>
      <c r="J11" s="22"/>
    </row>
    <row r="12" spans="1:10" ht="23.4" customHeight="1" x14ac:dyDescent="0.25">
      <c r="A12" s="95" t="s">
        <v>252</v>
      </c>
      <c r="B12" s="96"/>
      <c r="C12" s="96"/>
      <c r="D12" s="96"/>
      <c r="E12" s="96"/>
      <c r="F12" s="96"/>
      <c r="G12" s="96"/>
      <c r="H12" s="96"/>
      <c r="I12" s="96"/>
    </row>
    <row r="13" spans="1:10" ht="26.4" customHeight="1" x14ac:dyDescent="0.25">
      <c r="A13" s="38" t="s">
        <v>253</v>
      </c>
      <c r="B13" s="91" t="s">
        <v>262</v>
      </c>
      <c r="C13" s="92"/>
      <c r="D13" s="38" t="s">
        <v>264</v>
      </c>
      <c r="E13" s="91" t="s">
        <v>270</v>
      </c>
      <c r="F13" s="92"/>
      <c r="G13" s="38" t="s">
        <v>271</v>
      </c>
      <c r="H13" s="91" t="s">
        <v>285</v>
      </c>
      <c r="I13" s="92"/>
      <c r="J13" s="22"/>
    </row>
    <row r="14" spans="1:10" ht="15.15" customHeight="1" x14ac:dyDescent="0.25">
      <c r="A14" s="39" t="s">
        <v>254</v>
      </c>
      <c r="B14" s="43" t="s">
        <v>263</v>
      </c>
      <c r="C14" s="46">
        <f>SUM('Stavební rozpočet'!R12:R85)</f>
        <v>0</v>
      </c>
      <c r="D14" s="87" t="s">
        <v>265</v>
      </c>
      <c r="E14" s="88"/>
      <c r="F14" s="46">
        <v>0</v>
      </c>
      <c r="G14" s="87" t="s">
        <v>272</v>
      </c>
      <c r="H14" s="88"/>
      <c r="I14" s="46">
        <v>0</v>
      </c>
      <c r="J14" s="22"/>
    </row>
    <row r="15" spans="1:10" ht="15.15" customHeight="1" x14ac:dyDescent="0.25">
      <c r="A15" s="40"/>
      <c r="B15" s="43" t="s">
        <v>222</v>
      </c>
      <c r="C15" s="46">
        <f>SUM('Stavební rozpočet'!S12:S85)</f>
        <v>0</v>
      </c>
      <c r="D15" s="87" t="s">
        <v>266</v>
      </c>
      <c r="E15" s="88"/>
      <c r="F15" s="46">
        <v>0</v>
      </c>
      <c r="G15" s="87" t="s">
        <v>273</v>
      </c>
      <c r="H15" s="88"/>
      <c r="I15" s="46">
        <v>0</v>
      </c>
      <c r="J15" s="22"/>
    </row>
    <row r="16" spans="1:10" ht="15.15" customHeight="1" x14ac:dyDescent="0.25">
      <c r="A16" s="39" t="s">
        <v>255</v>
      </c>
      <c r="B16" s="43" t="s">
        <v>263</v>
      </c>
      <c r="C16" s="46">
        <f>SUM('Stavební rozpočet'!T12:T85)</f>
        <v>0</v>
      </c>
      <c r="D16" s="87" t="s">
        <v>267</v>
      </c>
      <c r="E16" s="88"/>
      <c r="F16" s="46">
        <v>0</v>
      </c>
      <c r="G16" s="87" t="s">
        <v>274</v>
      </c>
      <c r="H16" s="88"/>
      <c r="I16" s="46">
        <v>0</v>
      </c>
      <c r="J16" s="22"/>
    </row>
    <row r="17" spans="1:10" ht="15.15" customHeight="1" x14ac:dyDescent="0.25">
      <c r="A17" s="40"/>
      <c r="B17" s="43" t="s">
        <v>222</v>
      </c>
      <c r="C17" s="46">
        <f>SUM('Stavební rozpočet'!U12:U85)</f>
        <v>0</v>
      </c>
      <c r="D17" s="87"/>
      <c r="E17" s="88"/>
      <c r="F17" s="47"/>
      <c r="G17" s="87" t="s">
        <v>275</v>
      </c>
      <c r="H17" s="88"/>
      <c r="I17" s="46">
        <v>0</v>
      </c>
      <c r="J17" s="22"/>
    </row>
    <row r="18" spans="1:10" ht="15.15" customHeight="1" x14ac:dyDescent="0.25">
      <c r="A18" s="39" t="s">
        <v>256</v>
      </c>
      <c r="B18" s="43" t="s">
        <v>263</v>
      </c>
      <c r="C18" s="46">
        <f>SUM('Stavební rozpočet'!V12:V85)</f>
        <v>0</v>
      </c>
      <c r="D18" s="87"/>
      <c r="E18" s="88"/>
      <c r="F18" s="47"/>
      <c r="G18" s="87" t="s">
        <v>276</v>
      </c>
      <c r="H18" s="88"/>
      <c r="I18" s="46">
        <v>0</v>
      </c>
      <c r="J18" s="22"/>
    </row>
    <row r="19" spans="1:10" ht="15.15" customHeight="1" x14ac:dyDescent="0.25">
      <c r="A19" s="40"/>
      <c r="B19" s="43" t="s">
        <v>222</v>
      </c>
      <c r="C19" s="46">
        <f>SUM('Stavební rozpočet'!W12:W85)</f>
        <v>0</v>
      </c>
      <c r="D19" s="87"/>
      <c r="E19" s="88"/>
      <c r="F19" s="47"/>
      <c r="G19" s="87" t="s">
        <v>277</v>
      </c>
      <c r="H19" s="88"/>
      <c r="I19" s="46">
        <v>0</v>
      </c>
      <c r="J19" s="22"/>
    </row>
    <row r="20" spans="1:10" ht="15.15" customHeight="1" x14ac:dyDescent="0.25">
      <c r="A20" s="89" t="s">
        <v>200</v>
      </c>
      <c r="B20" s="90"/>
      <c r="C20" s="46">
        <f>SUM('Stavební rozpočet'!X12:X85)</f>
        <v>0</v>
      </c>
      <c r="D20" s="87"/>
      <c r="E20" s="88"/>
      <c r="F20" s="47"/>
      <c r="G20" s="87"/>
      <c r="H20" s="88"/>
      <c r="I20" s="47"/>
      <c r="J20" s="22"/>
    </row>
    <row r="21" spans="1:10" ht="15.15" customHeight="1" x14ac:dyDescent="0.25">
      <c r="A21" s="89" t="s">
        <v>257</v>
      </c>
      <c r="B21" s="90"/>
      <c r="C21" s="46">
        <f>SUM('Stavební rozpočet'!P12:P85)</f>
        <v>0</v>
      </c>
      <c r="D21" s="87"/>
      <c r="E21" s="88"/>
      <c r="F21" s="47"/>
      <c r="G21" s="87"/>
      <c r="H21" s="88"/>
      <c r="I21" s="47"/>
      <c r="J21" s="22"/>
    </row>
    <row r="22" spans="1:10" ht="16.649999999999999" customHeight="1" x14ac:dyDescent="0.25">
      <c r="A22" s="89" t="s">
        <v>258</v>
      </c>
      <c r="B22" s="90"/>
      <c r="C22" s="46">
        <f>SUM(C14:C21)</f>
        <v>0</v>
      </c>
      <c r="D22" s="89" t="s">
        <v>268</v>
      </c>
      <c r="E22" s="90"/>
      <c r="F22" s="46">
        <f>SUM(F14:F21)</f>
        <v>0</v>
      </c>
      <c r="G22" s="89" t="s">
        <v>278</v>
      </c>
      <c r="H22" s="90"/>
      <c r="I22" s="46">
        <f>ROUND(C22*(0/100),2)</f>
        <v>0</v>
      </c>
      <c r="J22" s="22"/>
    </row>
    <row r="23" spans="1:10" x14ac:dyDescent="0.25">
      <c r="A23" s="41"/>
      <c r="B23" s="41"/>
      <c r="C23" s="41"/>
      <c r="D23" s="7"/>
      <c r="E23" s="7"/>
      <c r="F23" s="7"/>
      <c r="G23" s="7"/>
      <c r="H23" s="7"/>
      <c r="I23" s="7"/>
    </row>
    <row r="24" spans="1:10" ht="15.15" customHeight="1" x14ac:dyDescent="0.25">
      <c r="A24" s="82" t="s">
        <v>259</v>
      </c>
      <c r="B24" s="83"/>
      <c r="C24" s="48">
        <f>SUM('Stavební rozpočet'!Z12:Z85)</f>
        <v>0</v>
      </c>
      <c r="D24" s="44"/>
      <c r="E24" s="45"/>
      <c r="F24" s="45"/>
      <c r="G24" s="45"/>
      <c r="H24" s="45"/>
      <c r="I24" s="45"/>
    </row>
    <row r="25" spans="1:10" ht="15.15" customHeight="1" x14ac:dyDescent="0.25">
      <c r="A25" s="82" t="s">
        <v>290</v>
      </c>
      <c r="B25" s="83"/>
      <c r="C25" s="48">
        <f>SUM('Stavební rozpočet'!AA12:AA85)</f>
        <v>0</v>
      </c>
      <c r="D25" s="82" t="s">
        <v>289</v>
      </c>
      <c r="E25" s="83"/>
      <c r="F25" s="48">
        <f>ROUND(C25*(14/100),2)</f>
        <v>0</v>
      </c>
      <c r="G25" s="82" t="s">
        <v>279</v>
      </c>
      <c r="H25" s="83"/>
      <c r="I25" s="48">
        <f>SUM(C24:C26)</f>
        <v>0</v>
      </c>
      <c r="J25" s="22"/>
    </row>
    <row r="26" spans="1:10" ht="15.15" customHeight="1" x14ac:dyDescent="0.25">
      <c r="A26" s="82" t="s">
        <v>288</v>
      </c>
      <c r="B26" s="83"/>
      <c r="C26" s="48">
        <f>SUM('Stavební rozpočet'!AB12:AB85)+(F22+I22)</f>
        <v>0</v>
      </c>
      <c r="D26" s="82" t="s">
        <v>287</v>
      </c>
      <c r="E26" s="83"/>
      <c r="F26" s="48">
        <f>ROUND(C26*(21/100),2)</f>
        <v>0</v>
      </c>
      <c r="G26" s="82" t="s">
        <v>280</v>
      </c>
      <c r="H26" s="83"/>
      <c r="I26" s="48">
        <f>SUM(F25:F26)+I25</f>
        <v>0</v>
      </c>
      <c r="J26" s="22"/>
    </row>
    <row r="27" spans="1:10" x14ac:dyDescent="0.25">
      <c r="A27" s="42"/>
      <c r="B27" s="42"/>
      <c r="C27" s="42"/>
      <c r="D27" s="42"/>
      <c r="E27" s="42"/>
      <c r="F27" s="42"/>
      <c r="G27" s="42"/>
      <c r="H27" s="42"/>
      <c r="I27" s="42"/>
    </row>
    <row r="28" spans="1:10" ht="14.4" customHeight="1" x14ac:dyDescent="0.25">
      <c r="A28" s="84" t="s">
        <v>260</v>
      </c>
      <c r="B28" s="85"/>
      <c r="C28" s="86"/>
      <c r="D28" s="84" t="s">
        <v>269</v>
      </c>
      <c r="E28" s="85"/>
      <c r="F28" s="86"/>
      <c r="G28" s="84" t="s">
        <v>281</v>
      </c>
      <c r="H28" s="85"/>
      <c r="I28" s="86"/>
      <c r="J28" s="23"/>
    </row>
    <row r="29" spans="1:10" ht="14.4" customHeight="1" x14ac:dyDescent="0.25">
      <c r="A29" s="76"/>
      <c r="B29" s="77"/>
      <c r="C29" s="78"/>
      <c r="D29" s="76"/>
      <c r="E29" s="77"/>
      <c r="F29" s="78"/>
      <c r="G29" s="76"/>
      <c r="H29" s="77"/>
      <c r="I29" s="78"/>
      <c r="J29" s="23"/>
    </row>
    <row r="30" spans="1:10" ht="14.4" customHeight="1" x14ac:dyDescent="0.25">
      <c r="A30" s="76"/>
      <c r="B30" s="77"/>
      <c r="C30" s="78"/>
      <c r="D30" s="76"/>
      <c r="E30" s="77"/>
      <c r="F30" s="78"/>
      <c r="G30" s="76"/>
      <c r="H30" s="77"/>
      <c r="I30" s="78"/>
      <c r="J30" s="23"/>
    </row>
    <row r="31" spans="1:10" ht="14.4" customHeight="1" x14ac:dyDescent="0.25">
      <c r="A31" s="76"/>
      <c r="B31" s="77"/>
      <c r="C31" s="78"/>
      <c r="D31" s="76"/>
      <c r="E31" s="77"/>
      <c r="F31" s="78"/>
      <c r="G31" s="76"/>
      <c r="H31" s="77"/>
      <c r="I31" s="78"/>
      <c r="J31" s="23"/>
    </row>
    <row r="32" spans="1:10" ht="14.4" customHeight="1" x14ac:dyDescent="0.25">
      <c r="A32" s="79" t="s">
        <v>261</v>
      </c>
      <c r="B32" s="80"/>
      <c r="C32" s="81"/>
      <c r="D32" s="79" t="s">
        <v>261</v>
      </c>
      <c r="E32" s="80"/>
      <c r="F32" s="81"/>
      <c r="G32" s="79" t="s">
        <v>261</v>
      </c>
      <c r="H32" s="80"/>
      <c r="I32" s="81"/>
      <c r="J32" s="23"/>
    </row>
    <row r="33" spans="1:9" x14ac:dyDescent="0.25">
      <c r="A33" s="36"/>
      <c r="B33" s="36"/>
      <c r="C33" s="36"/>
      <c r="D33" s="36"/>
      <c r="E33" s="36"/>
      <c r="F33" s="36"/>
      <c r="G33" s="36"/>
      <c r="H33" s="36"/>
      <c r="I33" s="36"/>
    </row>
  </sheetData>
  <mergeCells count="78">
    <mergeCell ref="A1:I1"/>
    <mergeCell ref="A2:B3"/>
    <mergeCell ref="A4:B5"/>
    <mergeCell ref="A6:B7"/>
    <mergeCell ref="A8:B9"/>
    <mergeCell ref="A10:B11"/>
    <mergeCell ref="C2:D3"/>
    <mergeCell ref="C4:D5"/>
    <mergeCell ref="C6:D7"/>
    <mergeCell ref="C8:D9"/>
    <mergeCell ref="C10:D11"/>
    <mergeCell ref="E2:E3"/>
    <mergeCell ref="E4:E5"/>
    <mergeCell ref="E6:E7"/>
    <mergeCell ref="E8:E9"/>
    <mergeCell ref="E10:E11"/>
    <mergeCell ref="F6:G7"/>
    <mergeCell ref="F8:G9"/>
    <mergeCell ref="F10:G11"/>
    <mergeCell ref="H2:H3"/>
    <mergeCell ref="H4:H5"/>
    <mergeCell ref="H6:H7"/>
    <mergeCell ref="H8:H9"/>
    <mergeCell ref="H10:H11"/>
    <mergeCell ref="D16:E16"/>
    <mergeCell ref="D17:E17"/>
    <mergeCell ref="I2:I3"/>
    <mergeCell ref="I4:I5"/>
    <mergeCell ref="I6:I7"/>
    <mergeCell ref="I8:I9"/>
    <mergeCell ref="I10:I11"/>
    <mergeCell ref="A12:I12"/>
    <mergeCell ref="F2:G3"/>
    <mergeCell ref="F4:G5"/>
    <mergeCell ref="G14:H14"/>
    <mergeCell ref="G15:H15"/>
    <mergeCell ref="G16:H16"/>
    <mergeCell ref="G17:H17"/>
    <mergeCell ref="G18:H18"/>
    <mergeCell ref="B13:C13"/>
    <mergeCell ref="E13:F13"/>
    <mergeCell ref="H13:I13"/>
    <mergeCell ref="D14:E14"/>
    <mergeCell ref="D15:E15"/>
    <mergeCell ref="A25:B25"/>
    <mergeCell ref="D25:E25"/>
    <mergeCell ref="D18:E18"/>
    <mergeCell ref="D19:E19"/>
    <mergeCell ref="D20:E20"/>
    <mergeCell ref="D21:E21"/>
    <mergeCell ref="D22:E22"/>
    <mergeCell ref="A20:B20"/>
    <mergeCell ref="A21:B21"/>
    <mergeCell ref="A22:B22"/>
    <mergeCell ref="G25:H25"/>
    <mergeCell ref="G26:H26"/>
    <mergeCell ref="A28:C28"/>
    <mergeCell ref="G28:I28"/>
    <mergeCell ref="D28:F28"/>
    <mergeCell ref="G19:H19"/>
    <mergeCell ref="G20:H20"/>
    <mergeCell ref="G21:H21"/>
    <mergeCell ref="G22:H22"/>
    <mergeCell ref="A24:B24"/>
    <mergeCell ref="A26:B26"/>
    <mergeCell ref="G29:I29"/>
    <mergeCell ref="G30:I30"/>
    <mergeCell ref="G31:I31"/>
    <mergeCell ref="G32:I32"/>
    <mergeCell ref="A29:C29"/>
    <mergeCell ref="D26:E26"/>
    <mergeCell ref="A30:C30"/>
    <mergeCell ref="A31:C31"/>
    <mergeCell ref="A32:C32"/>
    <mergeCell ref="D29:F29"/>
    <mergeCell ref="D30:F30"/>
    <mergeCell ref="D31:F31"/>
    <mergeCell ref="D32:F32"/>
  </mergeCells>
  <pageMargins left="0.78740157499999996" right="0.78740157499999996" top="0.984251969" bottom="0.984251969" header="0.4921259845" footer="0.4921259845"/>
  <pageSetup paperSize="9" scale="9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Stavební rozpočet</vt:lpstr>
      <vt:lpstr>Výkaz výměr</vt:lpstr>
      <vt:lpstr>Krycí list rozpočtu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Štěpán Janák</dc:creator>
  <cp:lastModifiedBy>Štěpán Janák</cp:lastModifiedBy>
  <cp:lastPrinted>2019-10-30T10:19:06Z</cp:lastPrinted>
  <dcterms:created xsi:type="dcterms:W3CDTF">2019-11-21T16:38:48Z</dcterms:created>
  <dcterms:modified xsi:type="dcterms:W3CDTF">2019-11-21T16:38:49Z</dcterms:modified>
</cp:coreProperties>
</file>