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72" yWindow="32772" windowWidth="23040" windowHeight="9072"/>
  </bookViews>
  <sheets>
    <sheet name="Stavební rozpočet" sheetId="1" r:id="rId1"/>
    <sheet name="Výkaz výměr" sheetId="2" r:id="rId2"/>
    <sheet name="Krycí list rozpočtu" sheetId="3" r:id="rId3"/>
  </sheets>
  <calcPr calcId="125725"/>
</workbook>
</file>

<file path=xl/calcChain.xml><?xml version="1.0" encoding="utf-8"?>
<calcChain xmlns="http://schemas.openxmlformats.org/spreadsheetml/2006/main">
  <c r="F22" i="3"/>
  <c r="I22"/>
  <c r="L12" i="1"/>
  <c r="T12"/>
  <c r="V12"/>
  <c r="X12"/>
  <c r="J13"/>
  <c r="AB13"/>
  <c r="L13"/>
  <c r="O13"/>
  <c r="P12"/>
  <c r="Z13"/>
  <c r="AI12"/>
  <c r="AA13"/>
  <c r="AE13"/>
  <c r="H13"/>
  <c r="H12"/>
  <c r="AF13"/>
  <c r="AN13"/>
  <c r="AM13"/>
  <c r="L14"/>
  <c r="P14"/>
  <c r="T14"/>
  <c r="V14"/>
  <c r="X14"/>
  <c r="J15"/>
  <c r="L15"/>
  <c r="O15"/>
  <c r="Z15"/>
  <c r="AI14"/>
  <c r="AA15"/>
  <c r="AJ14"/>
  <c r="AB15"/>
  <c r="AK14"/>
  <c r="AE15"/>
  <c r="H15"/>
  <c r="AF15"/>
  <c r="AN15"/>
  <c r="AM15"/>
  <c r="L16"/>
  <c r="T16"/>
  <c r="V16"/>
  <c r="X16"/>
  <c r="J17"/>
  <c r="L17"/>
  <c r="O17"/>
  <c r="Z17"/>
  <c r="AA17"/>
  <c r="AB17"/>
  <c r="AE17"/>
  <c r="H17"/>
  <c r="AF17"/>
  <c r="AN17"/>
  <c r="AM17"/>
  <c r="J18"/>
  <c r="AB18"/>
  <c r="L18"/>
  <c r="O18"/>
  <c r="Z18"/>
  <c r="AA18"/>
  <c r="AE18"/>
  <c r="H18"/>
  <c r="AF18"/>
  <c r="AM18"/>
  <c r="AN18"/>
  <c r="J20"/>
  <c r="L20"/>
  <c r="O20"/>
  <c r="Z20"/>
  <c r="AA20"/>
  <c r="AB20"/>
  <c r="AE20"/>
  <c r="AM20"/>
  <c r="AF20"/>
  <c r="AN20"/>
  <c r="L21"/>
  <c r="T21"/>
  <c r="V21"/>
  <c r="X21"/>
  <c r="J22"/>
  <c r="L22"/>
  <c r="O22"/>
  <c r="Z22"/>
  <c r="AA22"/>
  <c r="AB22"/>
  <c r="AE22"/>
  <c r="H22"/>
  <c r="AF22"/>
  <c r="AN22"/>
  <c r="AM22"/>
  <c r="J23"/>
  <c r="L23"/>
  <c r="O23"/>
  <c r="P21"/>
  <c r="Z23"/>
  <c r="AA23"/>
  <c r="AE23"/>
  <c r="H23"/>
  <c r="AF23"/>
  <c r="AN23"/>
  <c r="J24"/>
  <c r="L24"/>
  <c r="O24"/>
  <c r="Z24"/>
  <c r="AA24"/>
  <c r="AE24"/>
  <c r="H24"/>
  <c r="AF24"/>
  <c r="AN24"/>
  <c r="AM24"/>
  <c r="L26"/>
  <c r="T26"/>
  <c r="V26"/>
  <c r="X26"/>
  <c r="J27"/>
  <c r="AB27"/>
  <c r="AK26"/>
  <c r="L27"/>
  <c r="O27"/>
  <c r="P26"/>
  <c r="Z27"/>
  <c r="AI26"/>
  <c r="AA27"/>
  <c r="AJ26"/>
  <c r="AE27"/>
  <c r="H27"/>
  <c r="H26"/>
  <c r="AF27"/>
  <c r="AN27"/>
  <c r="AM27"/>
  <c r="L28"/>
  <c r="T28"/>
  <c r="V28"/>
  <c r="X28"/>
  <c r="J29"/>
  <c r="AB29"/>
  <c r="L29"/>
  <c r="O29"/>
  <c r="P28"/>
  <c r="Z29"/>
  <c r="AA29"/>
  <c r="AE29"/>
  <c r="H29"/>
  <c r="AF29"/>
  <c r="AM29"/>
  <c r="AN29"/>
  <c r="J30"/>
  <c r="AB30"/>
  <c r="L30"/>
  <c r="O30"/>
  <c r="Z30"/>
  <c r="AA30"/>
  <c r="AE30"/>
  <c r="AM30"/>
  <c r="AF30"/>
  <c r="AN30"/>
  <c r="L31"/>
  <c r="T31"/>
  <c r="V31"/>
  <c r="X31"/>
  <c r="J32"/>
  <c r="AB32"/>
  <c r="AK31"/>
  <c r="L32"/>
  <c r="O32"/>
  <c r="P31"/>
  <c r="Z32"/>
  <c r="AI31"/>
  <c r="AA32"/>
  <c r="AJ31"/>
  <c r="AE32"/>
  <c r="H32"/>
  <c r="H31"/>
  <c r="AF32"/>
  <c r="AN32"/>
  <c r="AM32"/>
  <c r="L33"/>
  <c r="T33"/>
  <c r="V33"/>
  <c r="X33"/>
  <c r="J34"/>
  <c r="AB34"/>
  <c r="AK33"/>
  <c r="L34"/>
  <c r="O34"/>
  <c r="P33"/>
  <c r="Z34"/>
  <c r="AI33"/>
  <c r="AA34"/>
  <c r="AJ33"/>
  <c r="AE34"/>
  <c r="H34"/>
  <c r="H33"/>
  <c r="AF34"/>
  <c r="AN34"/>
  <c r="AM34"/>
  <c r="L35"/>
  <c r="T35"/>
  <c r="V35"/>
  <c r="X35"/>
  <c r="J36"/>
  <c r="AB36"/>
  <c r="AK35"/>
  <c r="L36"/>
  <c r="O36"/>
  <c r="P35"/>
  <c r="Z36"/>
  <c r="AI35"/>
  <c r="AA36"/>
  <c r="AJ35"/>
  <c r="AE36"/>
  <c r="H36"/>
  <c r="H35"/>
  <c r="AF36"/>
  <c r="AM36"/>
  <c r="AN36"/>
  <c r="L37"/>
  <c r="P37"/>
  <c r="T37"/>
  <c r="V37"/>
  <c r="X37"/>
  <c r="J38"/>
  <c r="L38"/>
  <c r="O38"/>
  <c r="Z38"/>
  <c r="AI37"/>
  <c r="AA38"/>
  <c r="AJ37"/>
  <c r="AB38"/>
  <c r="AK37"/>
  <c r="AE38"/>
  <c r="H38"/>
  <c r="AF38"/>
  <c r="AN38"/>
  <c r="AM38"/>
  <c r="L39"/>
  <c r="T39"/>
  <c r="V39"/>
  <c r="X39"/>
  <c r="J40"/>
  <c r="L40"/>
  <c r="O40"/>
  <c r="Z40"/>
  <c r="AA40"/>
  <c r="AB40"/>
  <c r="AE40"/>
  <c r="H40"/>
  <c r="AF40"/>
  <c r="AN40"/>
  <c r="AM40"/>
  <c r="J41"/>
  <c r="L41"/>
  <c r="O41"/>
  <c r="Z41"/>
  <c r="AA41"/>
  <c r="AE41"/>
  <c r="H41"/>
  <c r="AF41"/>
  <c r="AN41"/>
  <c r="J42"/>
  <c r="AB42"/>
  <c r="L42"/>
  <c r="O42"/>
  <c r="Z42"/>
  <c r="AA42"/>
  <c r="AE42"/>
  <c r="H42"/>
  <c r="I42"/>
  <c r="AF42"/>
  <c r="AN42"/>
  <c r="AM42"/>
  <c r="L43"/>
  <c r="T43"/>
  <c r="V43"/>
  <c r="X43"/>
  <c r="J44"/>
  <c r="AB44"/>
  <c r="L44"/>
  <c r="O44"/>
  <c r="P43"/>
  <c r="Z44"/>
  <c r="AI43"/>
  <c r="AA44"/>
  <c r="AE44"/>
  <c r="H44"/>
  <c r="AF44"/>
  <c r="AN44"/>
  <c r="AM44"/>
  <c r="J45"/>
  <c r="L45"/>
  <c r="O45"/>
  <c r="Z45"/>
  <c r="AA45"/>
  <c r="AB45"/>
  <c r="AE45"/>
  <c r="H45"/>
  <c r="I45"/>
  <c r="AF45"/>
  <c r="AM45"/>
  <c r="AN45"/>
  <c r="L46"/>
  <c r="T46"/>
  <c r="V46"/>
  <c r="X46"/>
  <c r="J47"/>
  <c r="L47"/>
  <c r="O47"/>
  <c r="Z47"/>
  <c r="AA47"/>
  <c r="AB47"/>
  <c r="AE47"/>
  <c r="H47"/>
  <c r="AF47"/>
  <c r="AM47"/>
  <c r="AN47"/>
  <c r="J48"/>
  <c r="L48"/>
  <c r="O48"/>
  <c r="Z48"/>
  <c r="AA48"/>
  <c r="AB48"/>
  <c r="AE48"/>
  <c r="AM48"/>
  <c r="AF48"/>
  <c r="AN48"/>
  <c r="J49"/>
  <c r="L49"/>
  <c r="O49"/>
  <c r="Z49"/>
  <c r="AA49"/>
  <c r="AB49"/>
  <c r="AE49"/>
  <c r="AM49"/>
  <c r="AF49"/>
  <c r="AN49"/>
  <c r="J50"/>
  <c r="L50"/>
  <c r="O50"/>
  <c r="Z50"/>
  <c r="AA50"/>
  <c r="AB50"/>
  <c r="AE50"/>
  <c r="AM50"/>
  <c r="AF50"/>
  <c r="AN50"/>
  <c r="J51"/>
  <c r="L51"/>
  <c r="O51"/>
  <c r="Z51"/>
  <c r="AA51"/>
  <c r="AB51"/>
  <c r="AE51"/>
  <c r="AM51"/>
  <c r="AF51"/>
  <c r="AN51"/>
  <c r="L52"/>
  <c r="T52"/>
  <c r="V52"/>
  <c r="X52"/>
  <c r="J53"/>
  <c r="AB53"/>
  <c r="AK52"/>
  <c r="L53"/>
  <c r="O53"/>
  <c r="P52"/>
  <c r="Z53"/>
  <c r="AI52"/>
  <c r="AA53"/>
  <c r="AJ52"/>
  <c r="AE53"/>
  <c r="H53"/>
  <c r="H52"/>
  <c r="AF53"/>
  <c r="AN53"/>
  <c r="AM53"/>
  <c r="L54"/>
  <c r="T54"/>
  <c r="V54"/>
  <c r="X54"/>
  <c r="J55"/>
  <c r="AB55"/>
  <c r="L55"/>
  <c r="O55"/>
  <c r="Z55"/>
  <c r="AA55"/>
  <c r="AE55"/>
  <c r="H55"/>
  <c r="AF55"/>
  <c r="AN55"/>
  <c r="AM55"/>
  <c r="J56"/>
  <c r="L56"/>
  <c r="O56"/>
  <c r="Z56"/>
  <c r="AA56"/>
  <c r="AB56"/>
  <c r="AE56"/>
  <c r="H56"/>
  <c r="I56"/>
  <c r="AF56"/>
  <c r="AM56"/>
  <c r="AN56"/>
  <c r="J57"/>
  <c r="L57"/>
  <c r="O57"/>
  <c r="Z57"/>
  <c r="AA57"/>
  <c r="AB57"/>
  <c r="AE57"/>
  <c r="H57"/>
  <c r="I57"/>
  <c r="AF57"/>
  <c r="AN57"/>
  <c r="J58"/>
  <c r="L58"/>
  <c r="O58"/>
  <c r="Z58"/>
  <c r="AA58"/>
  <c r="AB58"/>
  <c r="AE58"/>
  <c r="H58"/>
  <c r="I58"/>
  <c r="AF58"/>
  <c r="AN58"/>
  <c r="J59"/>
  <c r="AB59"/>
  <c r="L59"/>
  <c r="O59"/>
  <c r="Z59"/>
  <c r="AA59"/>
  <c r="AE59"/>
  <c r="H59"/>
  <c r="AF59"/>
  <c r="AM59"/>
  <c r="AN59"/>
  <c r="L60"/>
  <c r="T60"/>
  <c r="V60"/>
  <c r="X60"/>
  <c r="J61"/>
  <c r="AB61"/>
  <c r="AK60"/>
  <c r="L61"/>
  <c r="Z61"/>
  <c r="AI60"/>
  <c r="AA61"/>
  <c r="AJ60"/>
  <c r="AE61"/>
  <c r="H61"/>
  <c r="H60"/>
  <c r="AF61"/>
  <c r="AN61"/>
  <c r="AM61"/>
  <c r="L62"/>
  <c r="T62"/>
  <c r="V62"/>
  <c r="X62"/>
  <c r="J63"/>
  <c r="L63"/>
  <c r="Z63"/>
  <c r="AA63"/>
  <c r="AB63"/>
  <c r="AE63"/>
  <c r="H63"/>
  <c r="AF63"/>
  <c r="AN63"/>
  <c r="AM63"/>
  <c r="J64"/>
  <c r="AB64"/>
  <c r="L64"/>
  <c r="Z64"/>
  <c r="AA64"/>
  <c r="AE64"/>
  <c r="H64"/>
  <c r="AF64"/>
  <c r="AM64"/>
  <c r="AN64"/>
  <c r="J65"/>
  <c r="AB65"/>
  <c r="L65"/>
  <c r="Z65"/>
  <c r="AA65"/>
  <c r="AE65"/>
  <c r="H65"/>
  <c r="AF65"/>
  <c r="AN65"/>
  <c r="AM65"/>
  <c r="J66"/>
  <c r="I66"/>
  <c r="O66"/>
  <c r="L66"/>
  <c r="Z66"/>
  <c r="AA66"/>
  <c r="AB66"/>
  <c r="AE66"/>
  <c r="H66"/>
  <c r="AF66"/>
  <c r="AN66"/>
  <c r="J67"/>
  <c r="L67"/>
  <c r="Z67"/>
  <c r="AA67"/>
  <c r="AB67"/>
  <c r="AE67"/>
  <c r="H67"/>
  <c r="I67"/>
  <c r="O67"/>
  <c r="AF67"/>
  <c r="AN67"/>
  <c r="AM67"/>
  <c r="AM66"/>
  <c r="I65"/>
  <c r="O65"/>
  <c r="AI62"/>
  <c r="I64"/>
  <c r="O64"/>
  <c r="AK62"/>
  <c r="AJ62"/>
  <c r="I63"/>
  <c r="H62"/>
  <c r="R60"/>
  <c r="I61"/>
  <c r="Z68"/>
  <c r="I59"/>
  <c r="AM58"/>
  <c r="AM57"/>
  <c r="AI54"/>
  <c r="P54"/>
  <c r="H54"/>
  <c r="R54"/>
  <c r="AJ54"/>
  <c r="AK54"/>
  <c r="I55"/>
  <c r="I54"/>
  <c r="R52"/>
  <c r="I53"/>
  <c r="I52"/>
  <c r="H51"/>
  <c r="I51"/>
  <c r="H50"/>
  <c r="I50"/>
  <c r="H49"/>
  <c r="I49"/>
  <c r="H48"/>
  <c r="I48"/>
  <c r="P46"/>
  <c r="AK46"/>
  <c r="AJ46"/>
  <c r="AI46"/>
  <c r="I47"/>
  <c r="H43"/>
  <c r="R43"/>
  <c r="AJ43"/>
  <c r="AK43"/>
  <c r="I44"/>
  <c r="I43"/>
  <c r="J43"/>
  <c r="P39"/>
  <c r="AI39"/>
  <c r="I41"/>
  <c r="AB41"/>
  <c r="AJ39"/>
  <c r="AM41"/>
  <c r="AK39"/>
  <c r="I40"/>
  <c r="H39"/>
  <c r="H37"/>
  <c r="I38"/>
  <c r="I37"/>
  <c r="R35"/>
  <c r="J35"/>
  <c r="I36"/>
  <c r="I35"/>
  <c r="R33"/>
  <c r="I34"/>
  <c r="I33"/>
  <c r="R31"/>
  <c r="J31"/>
  <c r="I32"/>
  <c r="I31"/>
  <c r="H30"/>
  <c r="I30"/>
  <c r="H28"/>
  <c r="AJ28"/>
  <c r="AK28"/>
  <c r="AI28"/>
  <c r="R28"/>
  <c r="I29"/>
  <c r="R26"/>
  <c r="I27"/>
  <c r="I26"/>
  <c r="I24"/>
  <c r="AB24"/>
  <c r="AK21"/>
  <c r="AI21"/>
  <c r="I23"/>
  <c r="AB23"/>
  <c r="AJ21"/>
  <c r="AM23"/>
  <c r="H21"/>
  <c r="I22"/>
  <c r="P16"/>
  <c r="AI16"/>
  <c r="H20"/>
  <c r="I20"/>
  <c r="AA68"/>
  <c r="I18"/>
  <c r="AK16"/>
  <c r="AJ16"/>
  <c r="H16"/>
  <c r="I17"/>
  <c r="I16"/>
  <c r="H14"/>
  <c r="I15"/>
  <c r="I14"/>
  <c r="C16" i="3"/>
  <c r="C28"/>
  <c r="F28" s="1"/>
  <c r="C20"/>
  <c r="C18"/>
  <c r="J12" i="1"/>
  <c r="R12"/>
  <c r="AK12"/>
  <c r="AB68"/>
  <c r="C29" i="3"/>
  <c r="F29" s="1"/>
  <c r="AJ12" i="1"/>
  <c r="C27" i="3"/>
  <c r="I13" i="1"/>
  <c r="I12"/>
  <c r="O63"/>
  <c r="P62"/>
  <c r="I62"/>
  <c r="J62"/>
  <c r="R62"/>
  <c r="I60"/>
  <c r="O61"/>
  <c r="P60"/>
  <c r="J54"/>
  <c r="S54"/>
  <c r="W54"/>
  <c r="U54"/>
  <c r="S52"/>
  <c r="W52"/>
  <c r="U52"/>
  <c r="J52"/>
  <c r="I46"/>
  <c r="H46"/>
  <c r="R46"/>
  <c r="U46"/>
  <c r="S43"/>
  <c r="W43"/>
  <c r="U43"/>
  <c r="I39"/>
  <c r="W39"/>
  <c r="R39"/>
  <c r="S37"/>
  <c r="W37"/>
  <c r="U37"/>
  <c r="R37"/>
  <c r="J37"/>
  <c r="S35"/>
  <c r="W35"/>
  <c r="U35"/>
  <c r="S33"/>
  <c r="W33"/>
  <c r="U33"/>
  <c r="J33"/>
  <c r="S31"/>
  <c r="W31"/>
  <c r="U31"/>
  <c r="I28"/>
  <c r="S28"/>
  <c r="S26"/>
  <c r="W26"/>
  <c r="U26"/>
  <c r="J26"/>
  <c r="I21"/>
  <c r="W21"/>
  <c r="S21"/>
  <c r="J21"/>
  <c r="R21"/>
  <c r="R16"/>
  <c r="J16"/>
  <c r="U16"/>
  <c r="S16"/>
  <c r="W16"/>
  <c r="S14"/>
  <c r="W14"/>
  <c r="U14"/>
  <c r="J14"/>
  <c r="R14"/>
  <c r="S12"/>
  <c r="W12"/>
  <c r="U12"/>
  <c r="I28" i="3"/>
  <c r="C21"/>
  <c r="S62" i="1"/>
  <c r="W62"/>
  <c r="U62"/>
  <c r="S60"/>
  <c r="W60"/>
  <c r="U60"/>
  <c r="J60"/>
  <c r="J46"/>
  <c r="W46"/>
  <c r="S46"/>
  <c r="J39"/>
  <c r="S39"/>
  <c r="U39"/>
  <c r="U28"/>
  <c r="J28"/>
  <c r="W28"/>
  <c r="U21"/>
  <c r="C14" i="3"/>
  <c r="C22" s="1"/>
  <c r="C15"/>
  <c r="J68" i="1"/>
  <c r="C19" i="3"/>
  <c r="C17"/>
  <c r="I29" l="1"/>
</calcChain>
</file>

<file path=xl/sharedStrings.xml><?xml version="1.0" encoding="utf-8"?>
<sst xmlns="http://schemas.openxmlformats.org/spreadsheetml/2006/main" count="718" uniqueCount="264">
  <si>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</si>
  <si>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</si>
  <si>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</si>
  <si>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</si>
  <si>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</si>
  <si>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</si>
  <si>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</si>
  <si>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</si>
  <si>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</si>
  <si>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</si>
  <si>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</si>
  <si>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</si>
  <si>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</si>
  <si>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</si>
  <si>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</si>
  <si>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</si>
  <si>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</si>
  <si>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</si>
  <si>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</si>
  <si>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</si>
  <si>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</si>
  <si>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</si>
  <si>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</si>
  <si>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</si>
  <si>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</si>
  <si>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</si>
  <si>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</si>
  <si>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</si>
  <si>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</si>
  <si>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</si>
  <si>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</si>
  <si>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</si>
  <si>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</si>
  <si>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</si>
  <si>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</si>
  <si>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</si>
  <si>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</si>
  <si>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</si>
  <si>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</si>
  <si>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</si>
  <si>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</si>
  <si>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</si>
  <si>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</si>
  <si>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</si>
  <si>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Poznámka:</t>
  </si>
  <si>
    <t>Objekt</t>
  </si>
  <si>
    <t>Kód</t>
  </si>
  <si>
    <t>113107325R00</t>
  </si>
  <si>
    <t>132201110R00</t>
  </si>
  <si>
    <t>167101102R00</t>
  </si>
  <si>
    <t>162701105RT3</t>
  </si>
  <si>
    <t>162701109R00</t>
  </si>
  <si>
    <t>174101101R00</t>
  </si>
  <si>
    <t>171206111R00</t>
  </si>
  <si>
    <t>174100050RAD</t>
  </si>
  <si>
    <t>262011212R00</t>
  </si>
  <si>
    <t>281606211R00</t>
  </si>
  <si>
    <t>289474223R00</t>
  </si>
  <si>
    <t>326211211R00</t>
  </si>
  <si>
    <t>348942112R00</t>
  </si>
  <si>
    <t>42</t>
  </si>
  <si>
    <t>423321111R00</t>
  </si>
  <si>
    <t>45</t>
  </si>
  <si>
    <t>457971122R00</t>
  </si>
  <si>
    <t>56</t>
  </si>
  <si>
    <t>564782111R00</t>
  </si>
  <si>
    <t>564841111R00</t>
  </si>
  <si>
    <t>569621112R00</t>
  </si>
  <si>
    <t>57</t>
  </si>
  <si>
    <t>571902111R00</t>
  </si>
  <si>
    <t>577113115R00</t>
  </si>
  <si>
    <t>91</t>
  </si>
  <si>
    <t>919443111R00</t>
  </si>
  <si>
    <t>919511211R00</t>
  </si>
  <si>
    <t>919441221R00</t>
  </si>
  <si>
    <t>919735112R00</t>
  </si>
  <si>
    <t>914992001R00</t>
  </si>
  <si>
    <t>93</t>
  </si>
  <si>
    <t>938902102R00</t>
  </si>
  <si>
    <t>96</t>
  </si>
  <si>
    <t>966008112R00</t>
  </si>
  <si>
    <t>962021112R00</t>
  </si>
  <si>
    <t>962042334R00</t>
  </si>
  <si>
    <t>966005211R00</t>
  </si>
  <si>
    <t>965082941R00</t>
  </si>
  <si>
    <t>H22</t>
  </si>
  <si>
    <t>998225111R00</t>
  </si>
  <si>
    <t>S</t>
  </si>
  <si>
    <t>979081111R00</t>
  </si>
  <si>
    <t>979081121R00</t>
  </si>
  <si>
    <t>979082111R00</t>
  </si>
  <si>
    <t>979087112R00</t>
  </si>
  <si>
    <t>979990001R00</t>
  </si>
  <si>
    <t>Pasport komunikace - K líhni, Kryštofovy Hamry</t>
  </si>
  <si>
    <t>Oprava a údržba</t>
  </si>
  <si>
    <t>p.p.č. 333, 334, k.ú. Kryštofovy Hamry</t>
  </si>
  <si>
    <t>Zkrácený popis / Varianta</t>
  </si>
  <si>
    <t>Rozměry</t>
  </si>
  <si>
    <t>Přípravné a přidružené práce</t>
  </si>
  <si>
    <t>Odstranění podkladu pl. 50 m2,kam.těžené tl.25 cm</t>
  </si>
  <si>
    <t>Hloubené vykopávky</t>
  </si>
  <si>
    <t>Hloubení rýh š.do 60 cm v hor.3 do 50 m3, STROJNĚ</t>
  </si>
  <si>
    <t>Přemístění výkopku</t>
  </si>
  <si>
    <t>Nakládání výkopku z hor.1-4 v množství nad 100 m3</t>
  </si>
  <si>
    <t>Vodorovné přemístění výkopku z hor.1-4 do 10000 m</t>
  </si>
  <si>
    <t>nosnost 12 t</t>
  </si>
  <si>
    <t>Příplatek k vod. přemístění hor.1-4 za další 1 km</t>
  </si>
  <si>
    <t>Konstrukce ze zemin</t>
  </si>
  <si>
    <t>Zásyp jam, rýh, šachet se zhutněním</t>
  </si>
  <si>
    <t>Úprava zemin na skládce</t>
  </si>
  <si>
    <t>Zásyp jam,rýh a šachet štěrkem</t>
  </si>
  <si>
    <t>dovoz štěrkopísku ze vzdálenosti 15 km</t>
  </si>
  <si>
    <t>Vrty</t>
  </si>
  <si>
    <t>Vrtání otvorů injektáže dutin v obezdívce z betonu</t>
  </si>
  <si>
    <t>Zpevňování hornin a konstrukcí</t>
  </si>
  <si>
    <t>Nízkotlaká injektáž cihelného zdiva tl. do 40 cm</t>
  </si>
  <si>
    <t>Spár.zdiva speciálním injektováním z lom.kamene dr.</t>
  </si>
  <si>
    <t>Zdi přehradní a opěrné</t>
  </si>
  <si>
    <t>Zdivo nadzákl. z lom. kamene na MC do 3 m3 režné</t>
  </si>
  <si>
    <t>Stěny a příčky</t>
  </si>
  <si>
    <t>Zábradlí ocel. ,ze 3 trubek</t>
  </si>
  <si>
    <t>Vodorovné nosné konstrukce (pro inženýrské stavby)</t>
  </si>
  <si>
    <t>Zřízení zhlaví mostní konstrukce z ŽLB vč. výztuže</t>
  </si>
  <si>
    <t>Podkladní a vedlejší konstrukce (kromě vozovek a železničního svršku)</t>
  </si>
  <si>
    <t>Zřízení vrstvy z geotextilie do 1:1,5,š. do 7,5 m</t>
  </si>
  <si>
    <t>Podkladní vrstvy komunikací, letišť a ploch</t>
  </si>
  <si>
    <t>Podklad z kam.drceného 32-63 s výplň.kamen. 30 cm</t>
  </si>
  <si>
    <t>Podklad ze štěrkodrti po zhutnění tloušťky 12 cm</t>
  </si>
  <si>
    <t>Zpevnění krajnic asfaltovým recyklátem tl. 6 cm</t>
  </si>
  <si>
    <t>Kryty štěrkových a živičných komunikací a ploch</t>
  </si>
  <si>
    <t>Očištění krytu komunikace včetně krajnic š. 0,5m</t>
  </si>
  <si>
    <t>Beton asfalt. ACO 16 S modif.obrus. š.do 3 m, 6 cm</t>
  </si>
  <si>
    <t>Doplňující konstrukce a práce pozemních komunikací, letišť a ploch</t>
  </si>
  <si>
    <t>Vtoková jímka z lom.kamene propustku DN do 80 cm</t>
  </si>
  <si>
    <t>Zřízení potrubního propustku z beton. trub DN 600</t>
  </si>
  <si>
    <t>Čelo propustku z lom. kamene z trub DN 60 - 80 cm</t>
  </si>
  <si>
    <t>Řezání stávajícího živičného krytu tl. 5 - 10 cm</t>
  </si>
  <si>
    <t>Nájem dopravní značky včetně stojanu</t>
  </si>
  <si>
    <t>Různé dokončovací konstrukce a práce inženýrských staveb</t>
  </si>
  <si>
    <t>Čištění příkopů š. do 40 cm, objem do 0,30 m3/m</t>
  </si>
  <si>
    <t>Bourání konstrukcí</t>
  </si>
  <si>
    <t>Bourání trubního propustku z trub DN do 50 cm</t>
  </si>
  <si>
    <t>Bourání mostních zdí a pilířů z kamene</t>
  </si>
  <si>
    <t>Bourání mostovek z železobetonu</t>
  </si>
  <si>
    <t>Rozebrání silnič. zábradlí, sloupky do říms/desek</t>
  </si>
  <si>
    <t>Odstranění násypu tl. nad 20 cm jakékoliv plochy</t>
  </si>
  <si>
    <t>Komunikace pozemní a letiště</t>
  </si>
  <si>
    <t>Přesun hmot, pozemní komunikace, kryt živičný</t>
  </si>
  <si>
    <t>Přesuny sutí</t>
  </si>
  <si>
    <t>Odvoz suti a vybour. hmot na skládku do 1 km</t>
  </si>
  <si>
    <t>Příplatek k odvozu za každý další 1 km (15km)</t>
  </si>
  <si>
    <t>Vnitrostaveništní doprava suti do 10 m</t>
  </si>
  <si>
    <t>Nakládání suti na dopravní prostředky</t>
  </si>
  <si>
    <t>Poplatek za skládku stavební suti</t>
  </si>
  <si>
    <t>Doba výstavby:</t>
  </si>
  <si>
    <t>Začátek výstavby:</t>
  </si>
  <si>
    <t>Konec výstavby:</t>
  </si>
  <si>
    <t>Zpracováno dne:</t>
  </si>
  <si>
    <t>M.j.</t>
  </si>
  <si>
    <t>m2</t>
  </si>
  <si>
    <t>m3</t>
  </si>
  <si>
    <t>kus</t>
  </si>
  <si>
    <t>m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</si>
  <si>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</si>
  <si>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</si>
  <si>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</si>
  <si>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</si>
  <si>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</si>
  <si>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</si>
  <si>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</si>
  <si>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</si>
  <si>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</si>
  <si>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</si>
  <si>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</si>
  <si>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</si>
  <si>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Obec Kryštofovy Hamry</t>
  </si>
  <si>
    <t>Celkem</t>
  </si>
  <si>
    <t>Hmotnost (t)</t>
  </si>
  <si>
    <t>Cenová</t>
  </si>
  <si>
    <t>soustava</t>
  </si>
  <si>
    <t>RTS II / 2015</t>
  </si>
  <si>
    <t>Přesuny</t>
  </si>
  <si>
    <t>Typ skupiny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</si>
  <si>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</si>
  <si>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</si>
  <si>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</si>
  <si>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</si>
  <si>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</si>
  <si>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</si>
  <si>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</si>
  <si>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</si>
  <si>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</si>
  <si>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13_</t>
  </si>
  <si>
    <t>16_</t>
  </si>
  <si>
    <t>17_</t>
  </si>
  <si>
    <t>26_</t>
  </si>
  <si>
    <t>28_</t>
  </si>
  <si>
    <t>32_</t>
  </si>
  <si>
    <t>34_</t>
  </si>
  <si>
    <t>42_</t>
  </si>
  <si>
    <t>45_</t>
  </si>
  <si>
    <t>56_</t>
  </si>
  <si>
    <t>57_</t>
  </si>
  <si>
    <t>91_</t>
  </si>
  <si>
    <t>93_</t>
  </si>
  <si>
    <t>96_</t>
  </si>
  <si>
    <t>H22_</t>
  </si>
  <si>
    <t>S_</t>
  </si>
  <si>
    <t>1_</t>
  </si>
  <si>
    <t>2_</t>
  </si>
  <si>
    <t>3_</t>
  </si>
  <si>
    <t>4_</t>
  </si>
  <si>
    <t>5_</t>
  </si>
  <si>
    <t>9_</t>
  </si>
  <si>
    <t>_</t>
  </si>
  <si>
    <t>Výkaz výměr</t>
  </si>
  <si>
    <t>Cenová soustava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</si>
  <si>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</si>
  <si>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</si>
  <si>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</si>
  <si>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</si>
  <si>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</si>
  <si>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</si>
  <si>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</si>
  <si>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</si>
  <si>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</si>
  <si>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</si>
  <si>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</si>
  <si>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</si>
  <si>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</si>
  <si>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</si>
  <si>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</si>
  <si>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</si>
  <si>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</si>
  <si>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</si>
  <si>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</si>
  <si>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</si>
  <si>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Projektová dokument.</t>
  </si>
  <si>
    <t>Inženýrská činnost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</si>
  <si>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</si>
  <si>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</si>
  <si>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</si>
  <si>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</si>
  <si>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</si>
  <si>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</si>
  <si>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</si>
  <si>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</si>
  <si>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</si>
  <si>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</si>
  <si>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</si>
  <si>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</si>
  <si>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</si>
  <si>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</si>
  <si>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</si>
  <si>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</si>
  <si>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</si>
  <si>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</si>
  <si>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</si>
  <si>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</si>
  <si>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</si>
  <si>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</si>
  <si>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</si>
  <si>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</si>
  <si>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00075566/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</si>
</sst>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color indexed="8"/>
      <name val="Arial"/>
      <charset val="238"/>
    </font>
    <font>
      <sz val="18"/>
      <color indexed="8"/>
      <name val="Arial"/>
      <charset val="238"/>
    </font>
    <font>
      <b/>
      <sz val="10"/>
      <color indexed="8"/>
      <name val="Arial"/>
      <charset val="238"/>
    </font>
    <font>
      <sz val="10"/>
      <color indexed="56"/>
      <name val="Arial"/>
      <charset val="238"/>
    </font>
    <font>
      <sz val="10"/>
      <color indexed="61"/>
      <name val="Arial"/>
      <charset val="238"/>
    </font>
    <font>
      <i/>
      <sz val="8"/>
      <color indexed="8"/>
      <name val="Arial"/>
      <charset val="238"/>
    </font>
    <font>
      <b/>
      <sz val="10"/>
      <color indexed="56"/>
      <name val="Arial"/>
      <charset val="238"/>
    </font>
    <font>
      <sz val="10"/>
      <color indexed="59"/>
      <name val="Arial"/>
      <charset val="238"/>
    </font>
    <font>
      <b/>
      <sz val="18"/>
      <color indexed="8"/>
      <name val="Arial"/>
      <charset val="238"/>
    </font>
    <font>
      <b/>
      <sz val="20"/>
      <color indexed="8"/>
      <name val="Arial"/>
      <charset val="238"/>
    </font>
    <font>
      <b/>
      <sz val="12"/>
      <color indexed="8"/>
      <name val="Arial"/>
      <charset val="238"/>
    </font>
    <font>
      <sz val="12"/>
      <color indexed="8"/>
      <name val="Arial"/>
      <charset val="238"/>
    </font>
    <font>
      <b/>
      <sz val="11"/>
      <color indexed="8"/>
      <name val="Arial"/>
      <charset val="238"/>
    </font>
    <font>
      <sz val="24"/>
      <color indexed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9"/>
      </patternFill>
    </fill>
    <fill>
      <patternFill patternType="solid">
        <fgColor indexed="22"/>
        <bgColor indexed="9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49" fontId="1" fillId="0" borderId="2" xfId="0" applyNumberFormat="1" applyFont="1" applyFill="1" applyBorder="1" applyAlignment="1" applyProtection="1">
      <alignment horizontal="left" vertical="center"/>
    </xf>
    <xf numFmtId="49" fontId="4" fillId="2" borderId="3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4" fillId="2" borderId="0" xfId="0" applyNumberFormat="1" applyFont="1" applyFill="1" applyBorder="1" applyAlignment="1" applyProtection="1">
      <alignment horizontal="left" vertical="center"/>
    </xf>
    <xf numFmtId="49" fontId="5" fillId="0" borderId="4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49" fontId="1" fillId="0" borderId="7" xfId="0" applyNumberFormat="1" applyFont="1" applyFill="1" applyBorder="1" applyAlignment="1" applyProtection="1">
      <alignment horizontal="left" vertical="center"/>
    </xf>
    <xf numFmtId="49" fontId="7" fillId="2" borderId="3" xfId="0" applyNumberFormat="1" applyFont="1" applyFill="1" applyBorder="1" applyAlignment="1" applyProtection="1">
      <alignment horizontal="left" vertical="center"/>
    </xf>
    <xf numFmtId="49" fontId="7" fillId="2" borderId="0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49" fontId="3" fillId="0" borderId="6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5" fillId="0" borderId="4" xfId="0" applyNumberFormat="1" applyFont="1" applyFill="1" applyBorder="1" applyAlignment="1" applyProtection="1">
      <alignment horizontal="right" vertical="center"/>
    </xf>
    <xf numFmtId="49" fontId="3" fillId="0" borderId="8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right"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right" vertical="center"/>
    </xf>
    <xf numFmtId="49" fontId="7" fillId="2" borderId="0" xfId="0" applyNumberFormat="1" applyFont="1" applyFill="1" applyBorder="1" applyAlignment="1" applyProtection="1">
      <alignment horizontal="right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3" fillId="0" borderId="14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1" fillId="0" borderId="15" xfId="0" applyNumberFormat="1" applyFont="1" applyFill="1" applyBorder="1" applyAlignment="1" applyProtection="1">
      <alignment vertical="center"/>
    </xf>
    <xf numFmtId="0" fontId="1" fillId="0" borderId="16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4" fontId="7" fillId="2" borderId="3" xfId="0" applyNumberFormat="1" applyFont="1" applyFill="1" applyBorder="1" applyAlignment="1" applyProtection="1">
      <alignment horizontal="right" vertical="center"/>
    </xf>
    <xf numFmtId="4" fontId="7" fillId="2" borderId="0" xfId="0" applyNumberFormat="1" applyFont="1" applyFill="1" applyBorder="1" applyAlignment="1" applyProtection="1">
      <alignment horizontal="right" vertical="center"/>
    </xf>
    <xf numFmtId="4" fontId="3" fillId="0" borderId="5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49" fontId="3" fillId="0" borderId="17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left" vertical="center"/>
    </xf>
    <xf numFmtId="49" fontId="3" fillId="0" borderId="18" xfId="0" applyNumberFormat="1" applyFont="1" applyFill="1" applyBorder="1" applyAlignment="1" applyProtection="1">
      <alignment horizontal="left" vertical="center"/>
    </xf>
    <xf numFmtId="49" fontId="3" fillId="0" borderId="18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49" fontId="3" fillId="0" borderId="19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0" fillId="3" borderId="20" xfId="0" applyNumberFormat="1" applyFont="1" applyFill="1" applyBorder="1" applyAlignment="1" applyProtection="1">
      <alignment horizontal="center" vertical="center"/>
    </xf>
    <xf numFmtId="49" fontId="11" fillId="0" borderId="21" xfId="0" applyNumberFormat="1" applyFont="1" applyFill="1" applyBorder="1" applyAlignment="1" applyProtection="1">
      <alignment horizontal="left" vertical="center"/>
    </xf>
    <xf numFmtId="49" fontId="11" fillId="0" borderId="22" xfId="0" applyNumberFormat="1" applyFont="1" applyFill="1" applyBorder="1" applyAlignment="1" applyProtection="1">
      <alignment horizontal="left" vertical="center"/>
    </xf>
    <xf numFmtId="0" fontId="1" fillId="0" borderId="23" xfId="0" applyNumberFormat="1" applyFont="1" applyFill="1" applyBorder="1" applyAlignment="1" applyProtection="1">
      <alignment vertical="center"/>
    </xf>
    <xf numFmtId="49" fontId="6" fillId="0" borderId="3" xfId="0" applyNumberFormat="1" applyFont="1" applyFill="1" applyBorder="1" applyAlignment="1" applyProtection="1">
      <alignment horizontal="left" vertical="center"/>
    </xf>
    <xf numFmtId="49" fontId="12" fillId="0" borderId="20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vertical="center"/>
    </xf>
    <xf numFmtId="0" fontId="1" fillId="0" borderId="24" xfId="0" applyNumberFormat="1" applyFont="1" applyFill="1" applyBorder="1" applyAlignment="1" applyProtection="1">
      <alignment vertical="center"/>
    </xf>
    <xf numFmtId="0" fontId="1" fillId="0" borderId="25" xfId="0" applyNumberFormat="1" applyFont="1" applyFill="1" applyBorder="1" applyAlignment="1" applyProtection="1">
      <alignment vertical="center"/>
    </xf>
    <xf numFmtId="4" fontId="12" fillId="0" borderId="20" xfId="0" applyNumberFormat="1" applyFont="1" applyFill="1" applyBorder="1" applyAlignment="1" applyProtection="1">
      <alignment horizontal="right" vertical="center"/>
    </xf>
    <xf numFmtId="49" fontId="12" fillId="0" borderId="20" xfId="0" applyNumberFormat="1" applyFont="1" applyFill="1" applyBorder="1" applyAlignment="1" applyProtection="1">
      <alignment horizontal="right" vertical="center"/>
    </xf>
    <xf numFmtId="4" fontId="12" fillId="0" borderId="11" xfId="0" applyNumberFormat="1" applyFont="1" applyFill="1" applyBorder="1" applyAlignment="1" applyProtection="1">
      <alignment horizontal="right" vertical="center"/>
    </xf>
    <xf numFmtId="0" fontId="1" fillId="0" borderId="26" xfId="0" applyNumberFormat="1" applyFont="1" applyFill="1" applyBorder="1" applyAlignment="1" applyProtection="1">
      <alignment vertical="center"/>
    </xf>
    <xf numFmtId="0" fontId="1" fillId="0" borderId="27" xfId="0" applyNumberFormat="1" applyFont="1" applyFill="1" applyBorder="1" applyAlignment="1" applyProtection="1">
      <alignment vertical="center"/>
    </xf>
    <xf numFmtId="4" fontId="11" fillId="3" borderId="28" xfId="0" applyNumberFormat="1" applyFont="1" applyFill="1" applyBorder="1" applyAlignment="1" applyProtection="1">
      <alignment horizontal="right" vertical="center"/>
    </xf>
    <xf numFmtId="0" fontId="1" fillId="0" borderId="4" xfId="0" applyNumberFormat="1" applyFont="1" applyFill="1" applyBorder="1" applyAlignment="1" applyProtection="1"/>
    <xf numFmtId="49" fontId="2" fillId="0" borderId="4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1" fillId="0" borderId="35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left" vertical="center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" fillId="0" borderId="5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/>
    </xf>
    <xf numFmtId="0" fontId="1" fillId="0" borderId="27" xfId="0" applyNumberFormat="1" applyFont="1" applyFill="1" applyBorder="1" applyAlignment="1" applyProtection="1">
      <alignment horizontal="left" vertical="center"/>
    </xf>
    <xf numFmtId="0" fontId="1" fillId="0" borderId="15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/>
    </xf>
    <xf numFmtId="14" fontId="1" fillId="0" borderId="0" xfId="0" applyNumberFormat="1" applyFont="1" applyFill="1" applyBorder="1" applyAlignment="1" applyProtection="1">
      <alignment horizontal="left" vertical="center"/>
    </xf>
    <xf numFmtId="0" fontId="1" fillId="0" borderId="32" xfId="0" applyNumberFormat="1" applyFont="1" applyFill="1" applyBorder="1" applyAlignment="1" applyProtection="1">
      <alignment horizontal="left" vertical="center"/>
    </xf>
    <xf numFmtId="0" fontId="1" fillId="0" borderId="33" xfId="0" applyNumberFormat="1" applyFont="1" applyFill="1" applyBorder="1" applyAlignment="1" applyProtection="1">
      <alignment horizontal="left" vertical="center"/>
    </xf>
    <xf numFmtId="0" fontId="1" fillId="0" borderId="34" xfId="0" applyNumberFormat="1" applyFont="1" applyFill="1" applyBorder="1" applyAlignment="1" applyProtection="1">
      <alignment horizontal="left" vertical="center"/>
    </xf>
    <xf numFmtId="49" fontId="3" fillId="0" borderId="29" xfId="0" applyNumberFormat="1" applyFont="1" applyFill="1" applyBorder="1" applyAlignment="1" applyProtection="1">
      <alignment horizontal="center" vertical="center"/>
    </xf>
    <xf numFmtId="0" fontId="3" fillId="0" borderId="30" xfId="0" applyNumberFormat="1" applyFont="1" applyFill="1" applyBorder="1" applyAlignment="1" applyProtection="1">
      <alignment horizontal="center" vertical="center"/>
    </xf>
    <xf numFmtId="0" fontId="3" fillId="0" borderId="31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/>
    </xf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center"/>
    </xf>
    <xf numFmtId="49" fontId="1" fillId="0" borderId="24" xfId="0" applyNumberFormat="1" applyFont="1" applyFill="1" applyBorder="1" applyAlignment="1" applyProtection="1">
      <alignment horizontal="left" vertical="center"/>
    </xf>
    <xf numFmtId="49" fontId="1" fillId="0" borderId="27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14" fontId="1" fillId="0" borderId="27" xfId="0" applyNumberFormat="1" applyFont="1" applyFill="1" applyBorder="1" applyAlignment="1" applyProtection="1">
      <alignment horizontal="left" vertical="center"/>
    </xf>
    <xf numFmtId="0" fontId="1" fillId="0" borderId="43" xfId="0" applyNumberFormat="1" applyFont="1" applyFill="1" applyBorder="1" applyAlignment="1" applyProtection="1">
      <alignment horizontal="left" vertical="center"/>
    </xf>
    <xf numFmtId="49" fontId="9" fillId="0" borderId="40" xfId="0" applyNumberFormat="1" applyFont="1" applyFill="1" applyBorder="1" applyAlignment="1" applyProtection="1">
      <alignment horizontal="center" vertical="center"/>
    </xf>
    <xf numFmtId="0" fontId="9" fillId="0" borderId="40" xfId="0" applyNumberFormat="1" applyFont="1" applyFill="1" applyBorder="1" applyAlignment="1" applyProtection="1">
      <alignment horizontal="center" vertical="center"/>
    </xf>
    <xf numFmtId="49" fontId="13" fillId="0" borderId="39" xfId="0" applyNumberFormat="1" applyFont="1" applyFill="1" applyBorder="1" applyAlignment="1" applyProtection="1">
      <alignment horizontal="left" vertical="center"/>
    </xf>
    <xf numFmtId="0" fontId="13" fillId="0" borderId="28" xfId="0" applyNumberFormat="1" applyFont="1" applyFill="1" applyBorder="1" applyAlignment="1" applyProtection="1">
      <alignment horizontal="left" vertical="center"/>
    </xf>
    <xf numFmtId="49" fontId="12" fillId="0" borderId="39" xfId="0" applyNumberFormat="1" applyFont="1" applyFill="1" applyBorder="1" applyAlignment="1" applyProtection="1">
      <alignment horizontal="left" vertical="center"/>
    </xf>
    <xf numFmtId="0" fontId="12" fillId="0" borderId="28" xfId="0" applyNumberFormat="1" applyFont="1" applyFill="1" applyBorder="1" applyAlignment="1" applyProtection="1">
      <alignment horizontal="left" vertical="center"/>
    </xf>
    <xf numFmtId="49" fontId="11" fillId="0" borderId="39" xfId="0" applyNumberFormat="1" applyFont="1" applyFill="1" applyBorder="1" applyAlignment="1" applyProtection="1">
      <alignment horizontal="left" vertical="center"/>
    </xf>
    <xf numFmtId="0" fontId="11" fillId="0" borderId="28" xfId="0" applyNumberFormat="1" applyFont="1" applyFill="1" applyBorder="1" applyAlignment="1" applyProtection="1">
      <alignment horizontal="left" vertical="center"/>
    </xf>
    <xf numFmtId="49" fontId="11" fillId="3" borderId="39" xfId="0" applyNumberFormat="1" applyFont="1" applyFill="1" applyBorder="1" applyAlignment="1" applyProtection="1">
      <alignment horizontal="left" vertical="center"/>
    </xf>
    <xf numFmtId="0" fontId="11" fillId="3" borderId="40" xfId="0" applyNumberFormat="1" applyFont="1" applyFill="1" applyBorder="1" applyAlignment="1" applyProtection="1">
      <alignment horizontal="left" vertical="center"/>
    </xf>
    <xf numFmtId="49" fontId="12" fillId="0" borderId="41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left" vertical="center"/>
    </xf>
    <xf numFmtId="0" fontId="12" fillId="0" borderId="42" xfId="0" applyNumberFormat="1" applyFont="1" applyFill="1" applyBorder="1" applyAlignment="1" applyProtection="1">
      <alignment horizontal="left" vertical="center"/>
    </xf>
    <xf numFmtId="49" fontId="12" fillId="0" borderId="16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2" fillId="0" borderId="36" xfId="0" applyNumberFormat="1" applyFont="1" applyFill="1" applyBorder="1" applyAlignment="1" applyProtection="1">
      <alignment horizontal="left" vertical="center"/>
    </xf>
    <xf numFmtId="49" fontId="12" fillId="0" borderId="37" xfId="0" applyNumberFormat="1" applyFont="1" applyFill="1" applyBorder="1" applyAlignment="1" applyProtection="1">
      <alignment horizontal="left" vertical="center"/>
    </xf>
    <xf numFmtId="0" fontId="12" fillId="0" borderId="33" xfId="0" applyNumberFormat="1" applyFont="1" applyFill="1" applyBorder="1" applyAlignment="1" applyProtection="1">
      <alignment horizontal="left" vertical="center"/>
    </xf>
    <xf numFmtId="0" fontId="12" fillId="0" borderId="38" xfId="0" applyNumberFormat="1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236220</xdr:colOff>
      <xdr:row>0</xdr:row>
      <xdr:rowOff>883920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60120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289560</xdr:colOff>
      <xdr:row>0</xdr:row>
      <xdr:rowOff>883920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4400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297180</xdr:colOff>
      <xdr:row>0</xdr:row>
      <xdr:rowOff>883920</xdr:rowOff>
    </xdr:to>
    <xdr:pic>
      <xdr:nvPicPr>
        <xdr:cNvPr id="30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22020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0"/>
  <sheetViews>
    <sheetView tabSelected="1" workbookViewId="0">
      <selection activeCell="L39" sqref="L39"/>
    </sheetView>
  </sheetViews>
  <sheetFormatPr defaultColWidth="11.5546875" defaultRowHeight="13.2"/>
  <cols>
    <col min="1" max="1" width="3.6640625" customWidth="1"/>
    <col min="2" max="2" width="6.88671875" customWidth="1"/>
    <col min="3" max="3" width="13.33203125" customWidth="1"/>
    <col min="4" max="4" width="45.33203125" customWidth="1"/>
    <col min="5" max="5" width="4.33203125" customWidth="1"/>
    <col min="6" max="6" width="12.88671875" customWidth="1"/>
    <col min="7" max="7" width="12" customWidth="1"/>
    <col min="8" max="10" width="14.33203125" customWidth="1"/>
    <col min="11" max="13" width="11.6640625" customWidth="1"/>
    <col min="14" max="14" width="0" hidden="1" customWidth="1"/>
    <col min="15" max="47" width="12.109375" hidden="1" customWidth="1"/>
  </cols>
  <sheetData>
    <row r="1" spans="1:43" ht="72.900000000000006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43">
      <c r="A2" s="63" t="s">
        <v>1</v>
      </c>
      <c r="B2" s="64"/>
      <c r="C2" s="64"/>
      <c r="D2" s="67" t="s">
        <v>93</v>
      </c>
      <c r="E2" s="69" t="s">
        <v>154</v>
      </c>
      <c r="F2" s="64"/>
      <c r="G2" s="69"/>
      <c r="H2" s="64"/>
      <c r="I2" s="70" t="s">
        <v>170</v>
      </c>
      <c r="J2" s="70" t="s">
        <v>175</v>
      </c>
      <c r="K2" s="64"/>
      <c r="L2" s="64"/>
      <c r="M2" s="71"/>
      <c r="N2" s="29"/>
    </row>
    <row r="3" spans="1:43">
      <c r="A3" s="65"/>
      <c r="B3" s="66"/>
      <c r="C3" s="66"/>
      <c r="D3" s="68"/>
      <c r="E3" s="66"/>
      <c r="F3" s="66"/>
      <c r="G3" s="66"/>
      <c r="H3" s="66"/>
      <c r="I3" s="66"/>
      <c r="J3" s="66"/>
      <c r="K3" s="66"/>
      <c r="L3" s="66"/>
      <c r="M3" s="72"/>
      <c r="N3" s="29"/>
    </row>
    <row r="4" spans="1:43">
      <c r="A4" s="73" t="s">
        <v>2</v>
      </c>
      <c r="B4" s="66"/>
      <c r="C4" s="66"/>
      <c r="D4" s="74" t="s">
        <v>94</v>
      </c>
      <c r="E4" s="75" t="s">
        <v>155</v>
      </c>
      <c r="F4" s="66"/>
      <c r="G4" s="75"/>
      <c r="H4" s="66"/>
      <c r="I4" s="74" t="s">
        <v>171</v>
      </c>
      <c r="J4" s="74"/>
      <c r="K4" s="66"/>
      <c r="L4" s="66"/>
      <c r="M4" s="72"/>
      <c r="N4" s="29"/>
    </row>
    <row r="5" spans="1:43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72"/>
      <c r="N5" s="29"/>
    </row>
    <row r="6" spans="1:43">
      <c r="A6" s="73" t="s">
        <v>3</v>
      </c>
      <c r="B6" s="66"/>
      <c r="C6" s="66"/>
      <c r="D6" s="74" t="s">
        <v>95</v>
      </c>
      <c r="E6" s="75" t="s">
        <v>156</v>
      </c>
      <c r="F6" s="66"/>
      <c r="G6" s="76"/>
      <c r="H6" s="66"/>
      <c r="I6" s="74" t="s">
        <v>172</v>
      </c>
      <c r="J6" s="74"/>
      <c r="K6" s="66"/>
      <c r="L6" s="66"/>
      <c r="M6" s="72"/>
      <c r="N6" s="29"/>
    </row>
    <row r="7" spans="1:43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72"/>
      <c r="N7" s="29"/>
    </row>
    <row r="8" spans="1:43">
      <c r="A8" s="73" t="s">
        <v>4</v>
      </c>
      <c r="B8" s="66"/>
      <c r="C8" s="66"/>
      <c r="D8" s="74"/>
      <c r="E8" s="75" t="s">
        <v>157</v>
      </c>
      <c r="F8" s="66"/>
      <c r="G8" s="76"/>
      <c r="H8" s="66"/>
      <c r="I8" s="74" t="s">
        <v>173</v>
      </c>
      <c r="J8" s="74"/>
      <c r="K8" s="66"/>
      <c r="L8" s="66"/>
      <c r="M8" s="72"/>
      <c r="N8" s="29"/>
    </row>
    <row r="9" spans="1:43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  <c r="N9" s="29"/>
    </row>
    <row r="10" spans="1:43">
      <c r="A10" s="1" t="s">
        <v>5</v>
      </c>
      <c r="B10" s="9" t="s">
        <v>45</v>
      </c>
      <c r="C10" s="9" t="s">
        <v>46</v>
      </c>
      <c r="D10" s="9" t="s">
        <v>96</v>
      </c>
      <c r="E10" s="9" t="s">
        <v>158</v>
      </c>
      <c r="F10" s="15" t="s">
        <v>164</v>
      </c>
      <c r="G10" s="18" t="s">
        <v>165</v>
      </c>
      <c r="H10" s="80" t="s">
        <v>167</v>
      </c>
      <c r="I10" s="81"/>
      <c r="J10" s="82"/>
      <c r="K10" s="80" t="s">
        <v>177</v>
      </c>
      <c r="L10" s="82"/>
      <c r="M10" s="25" t="s">
        <v>178</v>
      </c>
      <c r="N10" s="30"/>
    </row>
    <row r="11" spans="1:43">
      <c r="A11" s="2" t="s">
        <v>6</v>
      </c>
      <c r="B11" s="10" t="s">
        <v>6</v>
      </c>
      <c r="C11" s="10" t="s">
        <v>6</v>
      </c>
      <c r="D11" s="13" t="s">
        <v>97</v>
      </c>
      <c r="E11" s="10" t="s">
        <v>6</v>
      </c>
      <c r="F11" s="10" t="s">
        <v>6</v>
      </c>
      <c r="G11" s="19" t="s">
        <v>166</v>
      </c>
      <c r="H11" s="20" t="s">
        <v>168</v>
      </c>
      <c r="I11" s="21" t="s">
        <v>174</v>
      </c>
      <c r="J11" s="22" t="s">
        <v>176</v>
      </c>
      <c r="K11" s="20" t="s">
        <v>165</v>
      </c>
      <c r="L11" s="22" t="s">
        <v>176</v>
      </c>
      <c r="M11" s="26" t="s">
        <v>179</v>
      </c>
      <c r="N11" s="30"/>
      <c r="P11" s="24" t="s">
        <v>181</v>
      </c>
      <c r="Q11" s="24" t="s">
        <v>182</v>
      </c>
      <c r="R11" s="24" t="s">
        <v>184</v>
      </c>
      <c r="S11" s="24" t="s">
        <v>185</v>
      </c>
      <c r="T11" s="24" t="s">
        <v>186</v>
      </c>
      <c r="U11" s="24" t="s">
        <v>187</v>
      </c>
      <c r="V11" s="24" t="s">
        <v>188</v>
      </c>
      <c r="W11" s="24" t="s">
        <v>189</v>
      </c>
      <c r="X11" s="24" t="s">
        <v>190</v>
      </c>
    </row>
    <row r="12" spans="1:43">
      <c r="A12" s="3"/>
      <c r="B12" s="11"/>
      <c r="C12" s="11" t="s">
        <v>17</v>
      </c>
      <c r="D12" s="83" t="s">
        <v>98</v>
      </c>
      <c r="E12" s="84"/>
      <c r="F12" s="84"/>
      <c r="G12" s="84"/>
      <c r="H12" s="33">
        <f>SUM(H13:H13)</f>
        <v>0</v>
      </c>
      <c r="I12" s="33">
        <f>SUM(I13:I13)</f>
        <v>0</v>
      </c>
      <c r="J12" s="33">
        <f>H12+I12</f>
        <v>0</v>
      </c>
      <c r="K12" s="23"/>
      <c r="L12" s="33">
        <f>SUM(L13:L13)</f>
        <v>15.471500000000001</v>
      </c>
      <c r="M12" s="23"/>
      <c r="P12" s="34">
        <f>IF(Q12="PR",J12,SUM(O13:O13))</f>
        <v>0</v>
      </c>
      <c r="Q12" s="24" t="s">
        <v>183</v>
      </c>
      <c r="R12" s="34">
        <f>IF(Q12="HS",H12,0)</f>
        <v>0</v>
      </c>
      <c r="S12" s="34">
        <f>IF(Q12="HS",I12-P12,0)</f>
        <v>0</v>
      </c>
      <c r="T12" s="34">
        <f>IF(Q12="PS",H12,0)</f>
        <v>0</v>
      </c>
      <c r="U12" s="34">
        <f>IF(Q12="PS",I12-P12,0)</f>
        <v>0</v>
      </c>
      <c r="V12" s="34">
        <f>IF(Q12="MP",H12,0)</f>
        <v>0</v>
      </c>
      <c r="W12" s="34">
        <f>IF(Q12="MP",I12-P12,0)</f>
        <v>0</v>
      </c>
      <c r="X12" s="34">
        <f>IF(Q12="OM",H12,0)</f>
        <v>0</v>
      </c>
      <c r="Y12" s="24"/>
      <c r="AI12" s="34">
        <f>SUM(Z13:Z13)</f>
        <v>0</v>
      </c>
      <c r="AJ12" s="34">
        <f>SUM(AA13:AA13)</f>
        <v>0</v>
      </c>
      <c r="AK12" s="34">
        <f>SUM(AB13:AB13)</f>
        <v>0</v>
      </c>
    </row>
    <row r="13" spans="1:43">
      <c r="A13" s="4" t="s">
        <v>7</v>
      </c>
      <c r="B13" s="4"/>
      <c r="C13" s="4" t="s">
        <v>47</v>
      </c>
      <c r="D13" s="4" t="s">
        <v>99</v>
      </c>
      <c r="E13" s="4" t="s">
        <v>159</v>
      </c>
      <c r="F13" s="16">
        <v>28.13</v>
      </c>
      <c r="G13" s="16">
        <v>0</v>
      </c>
      <c r="H13" s="16">
        <f>F13*AE13</f>
        <v>0</v>
      </c>
      <c r="I13" s="16">
        <f>J13-H13</f>
        <v>0</v>
      </c>
      <c r="J13" s="16">
        <f>F13*G13</f>
        <v>0</v>
      </c>
      <c r="K13" s="16">
        <v>0.55000000000000004</v>
      </c>
      <c r="L13" s="16">
        <f>F13*K13</f>
        <v>15.471500000000001</v>
      </c>
      <c r="M13" s="27" t="s">
        <v>180</v>
      </c>
      <c r="N13" s="27" t="s">
        <v>7</v>
      </c>
      <c r="O13" s="16">
        <f>IF(N13="5",I13,0)</f>
        <v>0</v>
      </c>
      <c r="Z13" s="16">
        <f>IF(AD13=0,J13,0)</f>
        <v>0</v>
      </c>
      <c r="AA13" s="16">
        <f>IF(AD13=15,J13,0)</f>
        <v>0</v>
      </c>
      <c r="AB13" s="16">
        <f>IF(AD13=21,J13,0)</f>
        <v>0</v>
      </c>
      <c r="AD13" s="31">
        <v>21</v>
      </c>
      <c r="AE13" s="31">
        <f>G13*0</f>
        <v>0</v>
      </c>
      <c r="AF13" s="31">
        <f>G13*(1-0)</f>
        <v>0</v>
      </c>
      <c r="AM13" s="31">
        <f>F13*AE13</f>
        <v>0</v>
      </c>
      <c r="AN13" s="31">
        <f>F13*AF13</f>
        <v>0</v>
      </c>
      <c r="AO13" s="32" t="s">
        <v>191</v>
      </c>
      <c r="AP13" s="32" t="s">
        <v>208</v>
      </c>
      <c r="AQ13" s="24" t="s">
        <v>214</v>
      </c>
    </row>
    <row r="14" spans="1:43">
      <c r="A14" s="5"/>
      <c r="B14" s="12"/>
      <c r="C14" s="12" t="s">
        <v>19</v>
      </c>
      <c r="D14" s="85" t="s">
        <v>100</v>
      </c>
      <c r="E14" s="86"/>
      <c r="F14" s="86"/>
      <c r="G14" s="86"/>
      <c r="H14" s="34">
        <f>SUM(H15:H15)</f>
        <v>0</v>
      </c>
      <c r="I14" s="34">
        <f>SUM(I15:I15)</f>
        <v>0</v>
      </c>
      <c r="J14" s="34">
        <f>H14+I14</f>
        <v>0</v>
      </c>
      <c r="K14" s="24"/>
      <c r="L14" s="34">
        <f>SUM(L15:L15)</f>
        <v>0</v>
      </c>
      <c r="M14" s="24"/>
      <c r="P14" s="34">
        <f>IF(Q14="PR",J14,SUM(O15:O15))</f>
        <v>0</v>
      </c>
      <c r="Q14" s="24" t="s">
        <v>183</v>
      </c>
      <c r="R14" s="34">
        <f>IF(Q14="HS",H14,0)</f>
        <v>0</v>
      </c>
      <c r="S14" s="34">
        <f>IF(Q14="HS",I14-P14,0)</f>
        <v>0</v>
      </c>
      <c r="T14" s="34">
        <f>IF(Q14="PS",H14,0)</f>
        <v>0</v>
      </c>
      <c r="U14" s="34">
        <f>IF(Q14="PS",I14-P14,0)</f>
        <v>0</v>
      </c>
      <c r="V14" s="34">
        <f>IF(Q14="MP",H14,0)</f>
        <v>0</v>
      </c>
      <c r="W14" s="34">
        <f>IF(Q14="MP",I14-P14,0)</f>
        <v>0</v>
      </c>
      <c r="X14" s="34">
        <f>IF(Q14="OM",H14,0)</f>
        <v>0</v>
      </c>
      <c r="Y14" s="24"/>
      <c r="AI14" s="34">
        <f>SUM(Z15:Z15)</f>
        <v>0</v>
      </c>
      <c r="AJ14" s="34">
        <f>SUM(AA15:AA15)</f>
        <v>0</v>
      </c>
      <c r="AK14" s="34">
        <f>SUM(AB15:AB15)</f>
        <v>0</v>
      </c>
    </row>
    <row r="15" spans="1:43">
      <c r="A15" s="4" t="s">
        <v>8</v>
      </c>
      <c r="B15" s="4"/>
      <c r="C15" s="4" t="s">
        <v>48</v>
      </c>
      <c r="D15" s="4" t="s">
        <v>101</v>
      </c>
      <c r="E15" s="4" t="s">
        <v>160</v>
      </c>
      <c r="F15" s="16">
        <v>8.1999999999999993</v>
      </c>
      <c r="G15" s="16">
        <v>0</v>
      </c>
      <c r="H15" s="16">
        <f>F15*AE15</f>
        <v>0</v>
      </c>
      <c r="I15" s="16">
        <f>J15-H15</f>
        <v>0</v>
      </c>
      <c r="J15" s="16">
        <f>F15*G15</f>
        <v>0</v>
      </c>
      <c r="K15" s="16">
        <v>0</v>
      </c>
      <c r="L15" s="16">
        <f>F15*K15</f>
        <v>0</v>
      </c>
      <c r="M15" s="27" t="s">
        <v>180</v>
      </c>
      <c r="N15" s="27" t="s">
        <v>7</v>
      </c>
      <c r="O15" s="16">
        <f>IF(N15="5",I15,0)</f>
        <v>0</v>
      </c>
      <c r="Z15" s="16">
        <f>IF(AD15=0,J15,0)</f>
        <v>0</v>
      </c>
      <c r="AA15" s="16">
        <f>IF(AD15=15,J15,0)</f>
        <v>0</v>
      </c>
      <c r="AB15" s="16">
        <f>IF(AD15=21,J15,0)</f>
        <v>0</v>
      </c>
      <c r="AD15" s="31">
        <v>21</v>
      </c>
      <c r="AE15" s="31">
        <f>G15*0</f>
        <v>0</v>
      </c>
      <c r="AF15" s="31">
        <f>G15*(1-0)</f>
        <v>0</v>
      </c>
      <c r="AM15" s="31">
        <f>F15*AE15</f>
        <v>0</v>
      </c>
      <c r="AN15" s="31">
        <f>F15*AF15</f>
        <v>0</v>
      </c>
      <c r="AO15" s="32" t="s">
        <v>192</v>
      </c>
      <c r="AP15" s="32" t="s">
        <v>208</v>
      </c>
      <c r="AQ15" s="24" t="s">
        <v>214</v>
      </c>
    </row>
    <row r="16" spans="1:43">
      <c r="A16" s="5"/>
      <c r="B16" s="12"/>
      <c r="C16" s="12" t="s">
        <v>22</v>
      </c>
      <c r="D16" s="85" t="s">
        <v>102</v>
      </c>
      <c r="E16" s="86"/>
      <c r="F16" s="86"/>
      <c r="G16" s="86"/>
      <c r="H16" s="34">
        <f>SUM(H17:H20)</f>
        <v>0</v>
      </c>
      <c r="I16" s="34">
        <f>SUM(I17:I20)</f>
        <v>0</v>
      </c>
      <c r="J16" s="34">
        <f>H16+I16</f>
        <v>0</v>
      </c>
      <c r="K16" s="24"/>
      <c r="L16" s="34">
        <f>SUM(L17:L20)</f>
        <v>0</v>
      </c>
      <c r="M16" s="24"/>
      <c r="P16" s="34">
        <f>IF(Q16="PR",J16,SUM(O17:O20))</f>
        <v>0</v>
      </c>
      <c r="Q16" s="24" t="s">
        <v>183</v>
      </c>
      <c r="R16" s="34">
        <f>IF(Q16="HS",H16,0)</f>
        <v>0</v>
      </c>
      <c r="S16" s="34">
        <f>IF(Q16="HS",I16-P16,0)</f>
        <v>0</v>
      </c>
      <c r="T16" s="34">
        <f>IF(Q16="PS",H16,0)</f>
        <v>0</v>
      </c>
      <c r="U16" s="34">
        <f>IF(Q16="PS",I16-P16,0)</f>
        <v>0</v>
      </c>
      <c r="V16" s="34">
        <f>IF(Q16="MP",H16,0)</f>
        <v>0</v>
      </c>
      <c r="W16" s="34">
        <f>IF(Q16="MP",I16-P16,0)</f>
        <v>0</v>
      </c>
      <c r="X16" s="34">
        <f>IF(Q16="OM",H16,0)</f>
        <v>0</v>
      </c>
      <c r="Y16" s="24"/>
      <c r="AI16" s="34">
        <f>SUM(Z17:Z20)</f>
        <v>0</v>
      </c>
      <c r="AJ16" s="34">
        <f>SUM(AA17:AA20)</f>
        <v>0</v>
      </c>
      <c r="AK16" s="34">
        <f>SUM(AB17:AB20)</f>
        <v>0</v>
      </c>
    </row>
    <row r="17" spans="1:43">
      <c r="A17" s="4" t="s">
        <v>9</v>
      </c>
      <c r="B17" s="4"/>
      <c r="C17" s="4" t="s">
        <v>49</v>
      </c>
      <c r="D17" s="4" t="s">
        <v>103</v>
      </c>
      <c r="E17" s="4" t="s">
        <v>160</v>
      </c>
      <c r="F17" s="16">
        <v>289.95999999999998</v>
      </c>
      <c r="G17" s="16">
        <v>0</v>
      </c>
      <c r="H17" s="16">
        <f>F17*AE17</f>
        <v>0</v>
      </c>
      <c r="I17" s="16">
        <f>J17-H17</f>
        <v>0</v>
      </c>
      <c r="J17" s="16">
        <f>F17*G17</f>
        <v>0</v>
      </c>
      <c r="K17" s="16">
        <v>0</v>
      </c>
      <c r="L17" s="16">
        <f>F17*K17</f>
        <v>0</v>
      </c>
      <c r="M17" s="27" t="s">
        <v>180</v>
      </c>
      <c r="N17" s="27" t="s">
        <v>7</v>
      </c>
      <c r="O17" s="16">
        <f>IF(N17="5",I17,0)</f>
        <v>0</v>
      </c>
      <c r="Z17" s="16">
        <f>IF(AD17=0,J17,0)</f>
        <v>0</v>
      </c>
      <c r="AA17" s="16">
        <f>IF(AD17=15,J17,0)</f>
        <v>0</v>
      </c>
      <c r="AB17" s="16">
        <f>IF(AD17=21,J17,0)</f>
        <v>0</v>
      </c>
      <c r="AD17" s="31">
        <v>21</v>
      </c>
      <c r="AE17" s="31">
        <f>G17*0</f>
        <v>0</v>
      </c>
      <c r="AF17" s="31">
        <f>G17*(1-0)</f>
        <v>0</v>
      </c>
      <c r="AM17" s="31">
        <f>F17*AE17</f>
        <v>0</v>
      </c>
      <c r="AN17" s="31">
        <f>F17*AF17</f>
        <v>0</v>
      </c>
      <c r="AO17" s="32" t="s">
        <v>193</v>
      </c>
      <c r="AP17" s="32" t="s">
        <v>208</v>
      </c>
      <c r="AQ17" s="24" t="s">
        <v>214</v>
      </c>
    </row>
    <row r="18" spans="1:43">
      <c r="A18" s="4" t="s">
        <v>10</v>
      </c>
      <c r="B18" s="4"/>
      <c r="C18" s="4" t="s">
        <v>50</v>
      </c>
      <c r="D18" s="4" t="s">
        <v>104</v>
      </c>
      <c r="E18" s="4" t="s">
        <v>160</v>
      </c>
      <c r="F18" s="16">
        <v>289.95999999999998</v>
      </c>
      <c r="G18" s="16">
        <v>0</v>
      </c>
      <c r="H18" s="16">
        <f>F18*AE18</f>
        <v>0</v>
      </c>
      <c r="I18" s="16">
        <f>J18-H18</f>
        <v>0</v>
      </c>
      <c r="J18" s="16">
        <f>F18*G18</f>
        <v>0</v>
      </c>
      <c r="K18" s="16">
        <v>0</v>
      </c>
      <c r="L18" s="16">
        <f>F18*K18</f>
        <v>0</v>
      </c>
      <c r="M18" s="27" t="s">
        <v>180</v>
      </c>
      <c r="N18" s="27" t="s">
        <v>7</v>
      </c>
      <c r="O18" s="16">
        <f>IF(N18="5",I18,0)</f>
        <v>0</v>
      </c>
      <c r="Z18" s="16">
        <f>IF(AD18=0,J18,0)</f>
        <v>0</v>
      </c>
      <c r="AA18" s="16">
        <f>IF(AD18=15,J18,0)</f>
        <v>0</v>
      </c>
      <c r="AB18" s="16">
        <f>IF(AD18=21,J18,0)</f>
        <v>0</v>
      </c>
      <c r="AD18" s="31">
        <v>21</v>
      </c>
      <c r="AE18" s="31">
        <f>G18*0</f>
        <v>0</v>
      </c>
      <c r="AF18" s="31">
        <f>G18*(1-0)</f>
        <v>0</v>
      </c>
      <c r="AM18" s="31">
        <f>F18*AE18</f>
        <v>0</v>
      </c>
      <c r="AN18" s="31">
        <f>F18*AF18</f>
        <v>0</v>
      </c>
      <c r="AO18" s="32" t="s">
        <v>193</v>
      </c>
      <c r="AP18" s="32" t="s">
        <v>208</v>
      </c>
      <c r="AQ18" s="24" t="s">
        <v>214</v>
      </c>
    </row>
    <row r="19" spans="1:43">
      <c r="D19" s="14" t="s">
        <v>105</v>
      </c>
    </row>
    <row r="20" spans="1:43">
      <c r="A20" s="4" t="s">
        <v>11</v>
      </c>
      <c r="B20" s="4"/>
      <c r="C20" s="4" t="s">
        <v>51</v>
      </c>
      <c r="D20" s="4" t="s">
        <v>106</v>
      </c>
      <c r="E20" s="4" t="s">
        <v>160</v>
      </c>
      <c r="F20" s="16">
        <v>289.95999999999998</v>
      </c>
      <c r="G20" s="16">
        <v>0</v>
      </c>
      <c r="H20" s="16">
        <f>F20*AE20</f>
        <v>0</v>
      </c>
      <c r="I20" s="16">
        <f>J20-H20</f>
        <v>0</v>
      </c>
      <c r="J20" s="16">
        <f>F20*G20</f>
        <v>0</v>
      </c>
      <c r="K20" s="16">
        <v>0</v>
      </c>
      <c r="L20" s="16">
        <f>F20*K20</f>
        <v>0</v>
      </c>
      <c r="M20" s="27" t="s">
        <v>180</v>
      </c>
      <c r="N20" s="27" t="s">
        <v>7</v>
      </c>
      <c r="O20" s="16">
        <f>IF(N20="5",I20,0)</f>
        <v>0</v>
      </c>
      <c r="Z20" s="16">
        <f>IF(AD20=0,J20,0)</f>
        <v>0</v>
      </c>
      <c r="AA20" s="16">
        <f>IF(AD20=15,J20,0)</f>
        <v>0</v>
      </c>
      <c r="AB20" s="16">
        <f>IF(AD20=21,J20,0)</f>
        <v>0</v>
      </c>
      <c r="AD20" s="31">
        <v>21</v>
      </c>
      <c r="AE20" s="31">
        <f>G20*0</f>
        <v>0</v>
      </c>
      <c r="AF20" s="31">
        <f>G20*(1-0)</f>
        <v>0</v>
      </c>
      <c r="AM20" s="31">
        <f>F20*AE20</f>
        <v>0</v>
      </c>
      <c r="AN20" s="31">
        <f>F20*AF20</f>
        <v>0</v>
      </c>
      <c r="AO20" s="32" t="s">
        <v>193</v>
      </c>
      <c r="AP20" s="32" t="s">
        <v>208</v>
      </c>
      <c r="AQ20" s="24" t="s">
        <v>214</v>
      </c>
    </row>
    <row r="21" spans="1:43">
      <c r="A21" s="5"/>
      <c r="B21" s="12"/>
      <c r="C21" s="12" t="s">
        <v>23</v>
      </c>
      <c r="D21" s="85" t="s">
        <v>107</v>
      </c>
      <c r="E21" s="86"/>
      <c r="F21" s="86"/>
      <c r="G21" s="86"/>
      <c r="H21" s="34">
        <f>SUM(H22:H24)</f>
        <v>0</v>
      </c>
      <c r="I21" s="34">
        <f>SUM(I22:I24)</f>
        <v>0</v>
      </c>
      <c r="J21" s="34">
        <f>H21+I21</f>
        <v>0</v>
      </c>
      <c r="K21" s="24"/>
      <c r="L21" s="34">
        <f>SUM(L22:L24)</f>
        <v>35.220300000000002</v>
      </c>
      <c r="M21" s="24"/>
      <c r="P21" s="34">
        <f>IF(Q21="PR",J21,SUM(O22:O24))</f>
        <v>0</v>
      </c>
      <c r="Q21" s="24" t="s">
        <v>183</v>
      </c>
      <c r="R21" s="34">
        <f>IF(Q21="HS",H21,0)</f>
        <v>0</v>
      </c>
      <c r="S21" s="34">
        <f>IF(Q21="HS",I21-P21,0)</f>
        <v>0</v>
      </c>
      <c r="T21" s="34">
        <f>IF(Q21="PS",H21,0)</f>
        <v>0</v>
      </c>
      <c r="U21" s="34">
        <f>IF(Q21="PS",I21-P21,0)</f>
        <v>0</v>
      </c>
      <c r="V21" s="34">
        <f>IF(Q21="MP",H21,0)</f>
        <v>0</v>
      </c>
      <c r="W21" s="34">
        <f>IF(Q21="MP",I21-P21,0)</f>
        <v>0</v>
      </c>
      <c r="X21" s="34">
        <f>IF(Q21="OM",H21,0)</f>
        <v>0</v>
      </c>
      <c r="Y21" s="24"/>
      <c r="AI21" s="34">
        <f>SUM(Z22:Z24)</f>
        <v>0</v>
      </c>
      <c r="AJ21" s="34">
        <f>SUM(AA22:AA24)</f>
        <v>0</v>
      </c>
      <c r="AK21" s="34">
        <f>SUM(AB22:AB24)</f>
        <v>0</v>
      </c>
    </row>
    <row r="22" spans="1:43">
      <c r="A22" s="4" t="s">
        <v>12</v>
      </c>
      <c r="B22" s="4"/>
      <c r="C22" s="4" t="s">
        <v>52</v>
      </c>
      <c r="D22" s="4" t="s">
        <v>108</v>
      </c>
      <c r="E22" s="4" t="s">
        <v>160</v>
      </c>
      <c r="F22" s="16">
        <v>8.1999999999999993</v>
      </c>
      <c r="G22" s="16">
        <v>0</v>
      </c>
      <c r="H22" s="16">
        <f>F22*AE22</f>
        <v>0</v>
      </c>
      <c r="I22" s="16">
        <f>J22-H22</f>
        <v>0</v>
      </c>
      <c r="J22" s="16">
        <f>F22*G22</f>
        <v>0</v>
      </c>
      <c r="K22" s="16">
        <v>0</v>
      </c>
      <c r="L22" s="16">
        <f>F22*K22</f>
        <v>0</v>
      </c>
      <c r="M22" s="27" t="s">
        <v>180</v>
      </c>
      <c r="N22" s="27" t="s">
        <v>7</v>
      </c>
      <c r="O22" s="16">
        <f>IF(N22="5",I22,0)</f>
        <v>0</v>
      </c>
      <c r="Z22" s="16">
        <f>IF(AD22=0,J22,0)</f>
        <v>0</v>
      </c>
      <c r="AA22" s="16">
        <f>IF(AD22=15,J22,0)</f>
        <v>0</v>
      </c>
      <c r="AB22" s="16">
        <f>IF(AD22=21,J22,0)</f>
        <v>0</v>
      </c>
      <c r="AD22" s="31">
        <v>21</v>
      </c>
      <c r="AE22" s="31">
        <f>G22*0</f>
        <v>0</v>
      </c>
      <c r="AF22" s="31">
        <f>G22*(1-0)</f>
        <v>0</v>
      </c>
      <c r="AM22" s="31">
        <f>F22*AE22</f>
        <v>0</v>
      </c>
      <c r="AN22" s="31">
        <f>F22*AF22</f>
        <v>0</v>
      </c>
      <c r="AO22" s="32" t="s">
        <v>194</v>
      </c>
      <c r="AP22" s="32" t="s">
        <v>208</v>
      </c>
      <c r="AQ22" s="24" t="s">
        <v>214</v>
      </c>
    </row>
    <row r="23" spans="1:43">
      <c r="A23" s="4" t="s">
        <v>13</v>
      </c>
      <c r="B23" s="4"/>
      <c r="C23" s="4" t="s">
        <v>53</v>
      </c>
      <c r="D23" s="4" t="s">
        <v>109</v>
      </c>
      <c r="E23" s="4" t="s">
        <v>160</v>
      </c>
      <c r="F23" s="16">
        <v>286.95999999999998</v>
      </c>
      <c r="G23" s="16">
        <v>0</v>
      </c>
      <c r="H23" s="16">
        <f>F23*AE23</f>
        <v>0</v>
      </c>
      <c r="I23" s="16">
        <f>J23-H23</f>
        <v>0</v>
      </c>
      <c r="J23" s="16">
        <f>F23*G23</f>
        <v>0</v>
      </c>
      <c r="K23" s="16">
        <v>0</v>
      </c>
      <c r="L23" s="16">
        <f>F23*K23</f>
        <v>0</v>
      </c>
      <c r="M23" s="27" t="s">
        <v>180</v>
      </c>
      <c r="N23" s="27" t="s">
        <v>7</v>
      </c>
      <c r="O23" s="16">
        <f>IF(N23="5",I23,0)</f>
        <v>0</v>
      </c>
      <c r="Z23" s="16">
        <f>IF(AD23=0,J23,0)</f>
        <v>0</v>
      </c>
      <c r="AA23" s="16">
        <f>IF(AD23=15,J23,0)</f>
        <v>0</v>
      </c>
      <c r="AB23" s="16">
        <f>IF(AD23=21,J23,0)</f>
        <v>0</v>
      </c>
      <c r="AD23" s="31">
        <v>21</v>
      </c>
      <c r="AE23" s="31">
        <f>G23*0</f>
        <v>0</v>
      </c>
      <c r="AF23" s="31">
        <f>G23*(1-0)</f>
        <v>0</v>
      </c>
      <c r="AM23" s="31">
        <f>F23*AE23</f>
        <v>0</v>
      </c>
      <c r="AN23" s="31">
        <f>F23*AF23</f>
        <v>0</v>
      </c>
      <c r="AO23" s="32" t="s">
        <v>194</v>
      </c>
      <c r="AP23" s="32" t="s">
        <v>208</v>
      </c>
      <c r="AQ23" s="24" t="s">
        <v>214</v>
      </c>
    </row>
    <row r="24" spans="1:43">
      <c r="A24" s="4" t="s">
        <v>14</v>
      </c>
      <c r="B24" s="4"/>
      <c r="C24" s="4" t="s">
        <v>54</v>
      </c>
      <c r="D24" s="4" t="s">
        <v>110</v>
      </c>
      <c r="E24" s="4" t="s">
        <v>160</v>
      </c>
      <c r="F24" s="16">
        <v>21.09</v>
      </c>
      <c r="G24" s="16">
        <v>0</v>
      </c>
      <c r="H24" s="16">
        <f>F24*AE24</f>
        <v>0</v>
      </c>
      <c r="I24" s="16">
        <f>J24-H24</f>
        <v>0</v>
      </c>
      <c r="J24" s="16">
        <f>F24*G24</f>
        <v>0</v>
      </c>
      <c r="K24" s="16">
        <v>1.67</v>
      </c>
      <c r="L24" s="16">
        <f>F24*K24</f>
        <v>35.220300000000002</v>
      </c>
      <c r="M24" s="27" t="s">
        <v>180</v>
      </c>
      <c r="N24" s="27" t="s">
        <v>9</v>
      </c>
      <c r="O24" s="16">
        <f>IF(N24="5",I24,0)</f>
        <v>0</v>
      </c>
      <c r="Z24" s="16">
        <f>IF(AD24=0,J24,0)</f>
        <v>0</v>
      </c>
      <c r="AA24" s="16">
        <f>IF(AD24=15,J24,0)</f>
        <v>0</v>
      </c>
      <c r="AB24" s="16">
        <f>IF(AD24=21,J24,0)</f>
        <v>0</v>
      </c>
      <c r="AD24" s="31">
        <v>21</v>
      </c>
      <c r="AE24" s="31">
        <f>G24*0.522518676627535</f>
        <v>0</v>
      </c>
      <c r="AF24" s="31">
        <f>G24*(1-0.522518676627535)</f>
        <v>0</v>
      </c>
      <c r="AM24" s="31">
        <f>F24*AE24</f>
        <v>0</v>
      </c>
      <c r="AN24" s="31">
        <f>F24*AF24</f>
        <v>0</v>
      </c>
      <c r="AO24" s="32" t="s">
        <v>194</v>
      </c>
      <c r="AP24" s="32" t="s">
        <v>208</v>
      </c>
      <c r="AQ24" s="24" t="s">
        <v>214</v>
      </c>
    </row>
    <row r="25" spans="1:43">
      <c r="D25" s="14" t="s">
        <v>111</v>
      </c>
    </row>
    <row r="26" spans="1:43">
      <c r="A26" s="5"/>
      <c r="B26" s="12"/>
      <c r="C26" s="12" t="s">
        <v>32</v>
      </c>
      <c r="D26" s="85" t="s">
        <v>112</v>
      </c>
      <c r="E26" s="86"/>
      <c r="F26" s="86"/>
      <c r="G26" s="86"/>
      <c r="H26" s="34">
        <f>SUM(H27:H27)</f>
        <v>0</v>
      </c>
      <c r="I26" s="34">
        <f>SUM(I27:I27)</f>
        <v>0</v>
      </c>
      <c r="J26" s="34">
        <f>H26+I26</f>
        <v>0</v>
      </c>
      <c r="K26" s="24"/>
      <c r="L26" s="34">
        <f>SUM(L27:L27)</f>
        <v>1.9000000000000001E-4</v>
      </c>
      <c r="M26" s="24"/>
      <c r="P26" s="34">
        <f>IF(Q26="PR",J26,SUM(O27:O27))</f>
        <v>0</v>
      </c>
      <c r="Q26" s="24" t="s">
        <v>183</v>
      </c>
      <c r="R26" s="34">
        <f>IF(Q26="HS",H26,0)</f>
        <v>0</v>
      </c>
      <c r="S26" s="34">
        <f>IF(Q26="HS",I26-P26,0)</f>
        <v>0</v>
      </c>
      <c r="T26" s="34">
        <f>IF(Q26="PS",H26,0)</f>
        <v>0</v>
      </c>
      <c r="U26" s="34">
        <f>IF(Q26="PS",I26-P26,0)</f>
        <v>0</v>
      </c>
      <c r="V26" s="34">
        <f>IF(Q26="MP",H26,0)</f>
        <v>0</v>
      </c>
      <c r="W26" s="34">
        <f>IF(Q26="MP",I26-P26,0)</f>
        <v>0</v>
      </c>
      <c r="X26" s="34">
        <f>IF(Q26="OM",H26,0)</f>
        <v>0</v>
      </c>
      <c r="Y26" s="24"/>
      <c r="AI26" s="34">
        <f>SUM(Z27:Z27)</f>
        <v>0</v>
      </c>
      <c r="AJ26" s="34">
        <f>SUM(AA27:AA27)</f>
        <v>0</v>
      </c>
      <c r="AK26" s="34">
        <f>SUM(AB27:AB27)</f>
        <v>0</v>
      </c>
    </row>
    <row r="27" spans="1:43">
      <c r="A27" s="4" t="s">
        <v>15</v>
      </c>
      <c r="B27" s="4"/>
      <c r="C27" s="4" t="s">
        <v>55</v>
      </c>
      <c r="D27" s="4" t="s">
        <v>113</v>
      </c>
      <c r="E27" s="4" t="s">
        <v>161</v>
      </c>
      <c r="F27" s="16">
        <v>1</v>
      </c>
      <c r="G27" s="16">
        <v>0</v>
      </c>
      <c r="H27" s="16">
        <f>F27*AE27</f>
        <v>0</v>
      </c>
      <c r="I27" s="16">
        <f>J27-H27</f>
        <v>0</v>
      </c>
      <c r="J27" s="16">
        <f>F27*G27</f>
        <v>0</v>
      </c>
      <c r="K27" s="16">
        <v>1.9000000000000001E-4</v>
      </c>
      <c r="L27" s="16">
        <f>F27*K27</f>
        <v>1.9000000000000001E-4</v>
      </c>
      <c r="M27" s="27" t="s">
        <v>180</v>
      </c>
      <c r="N27" s="27" t="s">
        <v>7</v>
      </c>
      <c r="O27" s="16">
        <f>IF(N27="5",I27,0)</f>
        <v>0</v>
      </c>
      <c r="Z27" s="16">
        <f>IF(AD27=0,J27,0)</f>
        <v>0</v>
      </c>
      <c r="AA27" s="16">
        <f>IF(AD27=15,J27,0)</f>
        <v>0</v>
      </c>
      <c r="AB27" s="16">
        <f>IF(AD27=21,J27,0)</f>
        <v>0</v>
      </c>
      <c r="AD27" s="31">
        <v>21</v>
      </c>
      <c r="AE27" s="31">
        <f>G27*0.0209572301425662</f>
        <v>0</v>
      </c>
      <c r="AF27" s="31">
        <f>G27*(1-0.0209572301425662)</f>
        <v>0</v>
      </c>
      <c r="AM27" s="31">
        <f>F27*AE27</f>
        <v>0</v>
      </c>
      <c r="AN27" s="31">
        <f>F27*AF27</f>
        <v>0</v>
      </c>
      <c r="AO27" s="32" t="s">
        <v>195</v>
      </c>
      <c r="AP27" s="32" t="s">
        <v>209</v>
      </c>
      <c r="AQ27" s="24" t="s">
        <v>214</v>
      </c>
    </row>
    <row r="28" spans="1:43">
      <c r="A28" s="5"/>
      <c r="B28" s="12"/>
      <c r="C28" s="12" t="s">
        <v>34</v>
      </c>
      <c r="D28" s="85" t="s">
        <v>114</v>
      </c>
      <c r="E28" s="86"/>
      <c r="F28" s="86"/>
      <c r="G28" s="86"/>
      <c r="H28" s="34">
        <f>SUM(H29:H30)</f>
        <v>0</v>
      </c>
      <c r="I28" s="34">
        <f>SUM(I29:I30)</f>
        <v>0</v>
      </c>
      <c r="J28" s="34">
        <f>H28+I28</f>
        <v>0</v>
      </c>
      <c r="K28" s="24"/>
      <c r="L28" s="34">
        <f>SUM(L29:L30)</f>
        <v>1.6926099999999999</v>
      </c>
      <c r="M28" s="24"/>
      <c r="P28" s="34">
        <f>IF(Q28="PR",J28,SUM(O29:O30))</f>
        <v>0</v>
      </c>
      <c r="Q28" s="24" t="s">
        <v>183</v>
      </c>
      <c r="R28" s="34">
        <f>IF(Q28="HS",H28,0)</f>
        <v>0</v>
      </c>
      <c r="S28" s="34">
        <f>IF(Q28="HS",I28-P28,0)</f>
        <v>0</v>
      </c>
      <c r="T28" s="34">
        <f>IF(Q28="PS",H28,0)</f>
        <v>0</v>
      </c>
      <c r="U28" s="34">
        <f>IF(Q28="PS",I28-P28,0)</f>
        <v>0</v>
      </c>
      <c r="V28" s="34">
        <f>IF(Q28="MP",H28,0)</f>
        <v>0</v>
      </c>
      <c r="W28" s="34">
        <f>IF(Q28="MP",I28-P28,0)</f>
        <v>0</v>
      </c>
      <c r="X28" s="34">
        <f>IF(Q28="OM",H28,0)</f>
        <v>0</v>
      </c>
      <c r="Y28" s="24"/>
      <c r="AI28" s="34">
        <f>SUM(Z29:Z30)</f>
        <v>0</v>
      </c>
      <c r="AJ28" s="34">
        <f>SUM(AA29:AA30)</f>
        <v>0</v>
      </c>
      <c r="AK28" s="34">
        <f>SUM(AB29:AB30)</f>
        <v>0</v>
      </c>
    </row>
    <row r="29" spans="1:43">
      <c r="A29" s="4" t="s">
        <v>16</v>
      </c>
      <c r="B29" s="4"/>
      <c r="C29" s="4" t="s">
        <v>56</v>
      </c>
      <c r="D29" s="4" t="s">
        <v>115</v>
      </c>
      <c r="E29" s="4" t="s">
        <v>162</v>
      </c>
      <c r="F29" s="16">
        <v>185</v>
      </c>
      <c r="G29" s="16">
        <v>0</v>
      </c>
      <c r="H29" s="16">
        <f>F29*AE29</f>
        <v>0</v>
      </c>
      <c r="I29" s="16">
        <f>J29-H29</f>
        <v>0</v>
      </c>
      <c r="J29" s="16">
        <f>F29*G29</f>
        <v>0</v>
      </c>
      <c r="K29" s="16">
        <v>5.2999999999999998E-4</v>
      </c>
      <c r="L29" s="16">
        <f>F29*K29</f>
        <v>9.8049999999999998E-2</v>
      </c>
      <c r="M29" s="27" t="s">
        <v>180</v>
      </c>
      <c r="N29" s="27" t="s">
        <v>7</v>
      </c>
      <c r="O29" s="16">
        <f>IF(N29="5",I29,0)</f>
        <v>0</v>
      </c>
      <c r="Z29" s="16">
        <f>IF(AD29=0,J29,0)</f>
        <v>0</v>
      </c>
      <c r="AA29" s="16">
        <f>IF(AD29=15,J29,0)</f>
        <v>0</v>
      </c>
      <c r="AB29" s="16">
        <f>IF(AD29=21,J29,0)</f>
        <v>0</v>
      </c>
      <c r="AD29" s="31">
        <v>21</v>
      </c>
      <c r="AE29" s="31">
        <f>G29*0.763966622875688</f>
        <v>0</v>
      </c>
      <c r="AF29" s="31">
        <f>G29*(1-0.763966622875688)</f>
        <v>0</v>
      </c>
      <c r="AM29" s="31">
        <f>F29*AE29</f>
        <v>0</v>
      </c>
      <c r="AN29" s="31">
        <f>F29*AF29</f>
        <v>0</v>
      </c>
      <c r="AO29" s="32" t="s">
        <v>196</v>
      </c>
      <c r="AP29" s="32" t="s">
        <v>209</v>
      </c>
      <c r="AQ29" s="24" t="s">
        <v>214</v>
      </c>
    </row>
    <row r="30" spans="1:43">
      <c r="A30" s="4" t="s">
        <v>17</v>
      </c>
      <c r="B30" s="4"/>
      <c r="C30" s="4" t="s">
        <v>57</v>
      </c>
      <c r="D30" s="4" t="s">
        <v>116</v>
      </c>
      <c r="E30" s="4" t="s">
        <v>159</v>
      </c>
      <c r="F30" s="16">
        <v>48</v>
      </c>
      <c r="G30" s="16">
        <v>0</v>
      </c>
      <c r="H30" s="16">
        <f>F30*AE30</f>
        <v>0</v>
      </c>
      <c r="I30" s="16">
        <f>J30-H30</f>
        <v>0</v>
      </c>
      <c r="J30" s="16">
        <f>F30*G30</f>
        <v>0</v>
      </c>
      <c r="K30" s="16">
        <v>3.322E-2</v>
      </c>
      <c r="L30" s="16">
        <f>F30*K30</f>
        <v>1.59456</v>
      </c>
      <c r="M30" s="27" t="s">
        <v>180</v>
      </c>
      <c r="N30" s="27" t="s">
        <v>7</v>
      </c>
      <c r="O30" s="16">
        <f>IF(N30="5",I30,0)</f>
        <v>0</v>
      </c>
      <c r="Z30" s="16">
        <f>IF(AD30=0,J30,0)</f>
        <v>0</v>
      </c>
      <c r="AA30" s="16">
        <f>IF(AD30=15,J30,0)</f>
        <v>0</v>
      </c>
      <c r="AB30" s="16">
        <f>IF(AD30=21,J30,0)</f>
        <v>0</v>
      </c>
      <c r="AD30" s="31">
        <v>21</v>
      </c>
      <c r="AE30" s="31">
        <f>G30*0.0956871035940803</f>
        <v>0</v>
      </c>
      <c r="AF30" s="31">
        <f>G30*(1-0.0956871035940803)</f>
        <v>0</v>
      </c>
      <c r="AM30" s="31">
        <f>F30*AE30</f>
        <v>0</v>
      </c>
      <c r="AN30" s="31">
        <f>F30*AF30</f>
        <v>0</v>
      </c>
      <c r="AO30" s="32" t="s">
        <v>196</v>
      </c>
      <c r="AP30" s="32" t="s">
        <v>209</v>
      </c>
      <c r="AQ30" s="24" t="s">
        <v>214</v>
      </c>
    </row>
    <row r="31" spans="1:43">
      <c r="A31" s="5"/>
      <c r="B31" s="12"/>
      <c r="C31" s="12" t="s">
        <v>38</v>
      </c>
      <c r="D31" s="85" t="s">
        <v>117</v>
      </c>
      <c r="E31" s="86"/>
      <c r="F31" s="86"/>
      <c r="G31" s="86"/>
      <c r="H31" s="34">
        <f>SUM(H32:H32)</f>
        <v>0</v>
      </c>
      <c r="I31" s="34">
        <f>SUM(I32:I32)</f>
        <v>0</v>
      </c>
      <c r="J31" s="34">
        <f>H31+I31</f>
        <v>0</v>
      </c>
      <c r="K31" s="24"/>
      <c r="L31" s="34">
        <f>SUM(L32:L32)</f>
        <v>113.3899468</v>
      </c>
      <c r="M31" s="24"/>
      <c r="P31" s="34">
        <f>IF(Q31="PR",J31,SUM(O32:O32))</f>
        <v>0</v>
      </c>
      <c r="Q31" s="24" t="s">
        <v>183</v>
      </c>
      <c r="R31" s="34">
        <f>IF(Q31="HS",H31,0)</f>
        <v>0</v>
      </c>
      <c r="S31" s="34">
        <f>IF(Q31="HS",I31-P31,0)</f>
        <v>0</v>
      </c>
      <c r="T31" s="34">
        <f>IF(Q31="PS",H31,0)</f>
        <v>0</v>
      </c>
      <c r="U31" s="34">
        <f>IF(Q31="PS",I31-P31,0)</f>
        <v>0</v>
      </c>
      <c r="V31" s="34">
        <f>IF(Q31="MP",H31,0)</f>
        <v>0</v>
      </c>
      <c r="W31" s="34">
        <f>IF(Q31="MP",I31-P31,0)</f>
        <v>0</v>
      </c>
      <c r="X31" s="34">
        <f>IF(Q31="OM",H31,0)</f>
        <v>0</v>
      </c>
      <c r="Y31" s="24"/>
      <c r="AI31" s="34">
        <f>SUM(Z32:Z32)</f>
        <v>0</v>
      </c>
      <c r="AJ31" s="34">
        <f>SUM(AA32:AA32)</f>
        <v>0</v>
      </c>
      <c r="AK31" s="34">
        <f>SUM(AB32:AB32)</f>
        <v>0</v>
      </c>
    </row>
    <row r="32" spans="1:43">
      <c r="A32" s="4" t="s">
        <v>18</v>
      </c>
      <c r="B32" s="4"/>
      <c r="C32" s="4" t="s">
        <v>58</v>
      </c>
      <c r="D32" s="4" t="s">
        <v>118</v>
      </c>
      <c r="E32" s="4" t="s">
        <v>160</v>
      </c>
      <c r="F32" s="16">
        <v>39.26</v>
      </c>
      <c r="G32" s="16">
        <v>0</v>
      </c>
      <c r="H32" s="16">
        <f>F32*AE32</f>
        <v>0</v>
      </c>
      <c r="I32" s="16">
        <f>J32-H32</f>
        <v>0</v>
      </c>
      <c r="J32" s="16">
        <f>F32*G32</f>
        <v>0</v>
      </c>
      <c r="K32" s="16">
        <v>2.8881800000000002</v>
      </c>
      <c r="L32" s="16">
        <f>F32*K32</f>
        <v>113.3899468</v>
      </c>
      <c r="M32" s="27" t="s">
        <v>180</v>
      </c>
      <c r="N32" s="27" t="s">
        <v>7</v>
      </c>
      <c r="O32" s="16">
        <f>IF(N32="5",I32,0)</f>
        <v>0</v>
      </c>
      <c r="Z32" s="16">
        <f>IF(AD32=0,J32,0)</f>
        <v>0</v>
      </c>
      <c r="AA32" s="16">
        <f>IF(AD32=15,J32,0)</f>
        <v>0</v>
      </c>
      <c r="AB32" s="16">
        <f>IF(AD32=21,J32,0)</f>
        <v>0</v>
      </c>
      <c r="AD32" s="31">
        <v>21</v>
      </c>
      <c r="AE32" s="31">
        <f>G32*0.510354954954955</f>
        <v>0</v>
      </c>
      <c r="AF32" s="31">
        <f>G32*(1-0.510354954954955)</f>
        <v>0</v>
      </c>
      <c r="AM32" s="31">
        <f>F32*AE32</f>
        <v>0</v>
      </c>
      <c r="AN32" s="31">
        <f>F32*AF32</f>
        <v>0</v>
      </c>
      <c r="AO32" s="32" t="s">
        <v>197</v>
      </c>
      <c r="AP32" s="32" t="s">
        <v>210</v>
      </c>
      <c r="AQ32" s="24" t="s">
        <v>214</v>
      </c>
    </row>
    <row r="33" spans="1:43">
      <c r="A33" s="5"/>
      <c r="B33" s="12"/>
      <c r="C33" s="12" t="s">
        <v>40</v>
      </c>
      <c r="D33" s="85" t="s">
        <v>119</v>
      </c>
      <c r="E33" s="86"/>
      <c r="F33" s="86"/>
      <c r="G33" s="86"/>
      <c r="H33" s="34">
        <f>SUM(H34:H34)</f>
        <v>0</v>
      </c>
      <c r="I33" s="34">
        <f>SUM(I34:I34)</f>
        <v>0</v>
      </c>
      <c r="J33" s="34">
        <f>H33+I33</f>
        <v>0</v>
      </c>
      <c r="K33" s="24"/>
      <c r="L33" s="34">
        <f>SUM(L34:L34)</f>
        <v>0.80513999999999997</v>
      </c>
      <c r="M33" s="24"/>
      <c r="P33" s="34">
        <f>IF(Q33="PR",J33,SUM(O34:O34))</f>
        <v>0</v>
      </c>
      <c r="Q33" s="24" t="s">
        <v>183</v>
      </c>
      <c r="R33" s="34">
        <f>IF(Q33="HS",H33,0)</f>
        <v>0</v>
      </c>
      <c r="S33" s="34">
        <f>IF(Q33="HS",I33-P33,0)</f>
        <v>0</v>
      </c>
      <c r="T33" s="34">
        <f>IF(Q33="PS",H33,0)</f>
        <v>0</v>
      </c>
      <c r="U33" s="34">
        <f>IF(Q33="PS",I33-P33,0)</f>
        <v>0</v>
      </c>
      <c r="V33" s="34">
        <f>IF(Q33="MP",H33,0)</f>
        <v>0</v>
      </c>
      <c r="W33" s="34">
        <f>IF(Q33="MP",I33-P33,0)</f>
        <v>0</v>
      </c>
      <c r="X33" s="34">
        <f>IF(Q33="OM",H33,0)</f>
        <v>0</v>
      </c>
      <c r="Y33" s="24"/>
      <c r="AI33" s="34">
        <f>SUM(Z34:Z34)</f>
        <v>0</v>
      </c>
      <c r="AJ33" s="34">
        <f>SUM(AA34:AA34)</f>
        <v>0</v>
      </c>
      <c r="AK33" s="34">
        <f>SUM(AB34:AB34)</f>
        <v>0</v>
      </c>
    </row>
    <row r="34" spans="1:43">
      <c r="A34" s="4" t="s">
        <v>19</v>
      </c>
      <c r="B34" s="4"/>
      <c r="C34" s="4" t="s">
        <v>59</v>
      </c>
      <c r="D34" s="4" t="s">
        <v>120</v>
      </c>
      <c r="E34" s="4" t="s">
        <v>162</v>
      </c>
      <c r="F34" s="16">
        <v>18</v>
      </c>
      <c r="G34" s="16">
        <v>0</v>
      </c>
      <c r="H34" s="16">
        <f>F34*AE34</f>
        <v>0</v>
      </c>
      <c r="I34" s="16">
        <f>J34-H34</f>
        <v>0</v>
      </c>
      <c r="J34" s="16">
        <f>F34*G34</f>
        <v>0</v>
      </c>
      <c r="K34" s="16">
        <v>4.4729999999999999E-2</v>
      </c>
      <c r="L34" s="16">
        <f>F34*K34</f>
        <v>0.80513999999999997</v>
      </c>
      <c r="M34" s="27" t="s">
        <v>180</v>
      </c>
      <c r="N34" s="27" t="s">
        <v>7</v>
      </c>
      <c r="O34" s="16">
        <f>IF(N34="5",I34,0)</f>
        <v>0</v>
      </c>
      <c r="Z34" s="16">
        <f>IF(AD34=0,J34,0)</f>
        <v>0</v>
      </c>
      <c r="AA34" s="16">
        <f>IF(AD34=15,J34,0)</f>
        <v>0</v>
      </c>
      <c r="AB34" s="16">
        <f>IF(AD34=21,J34,0)</f>
        <v>0</v>
      </c>
      <c r="AD34" s="31">
        <v>21</v>
      </c>
      <c r="AE34" s="31">
        <f>G34*0.790961538461538</f>
        <v>0</v>
      </c>
      <c r="AF34" s="31">
        <f>G34*(1-0.790961538461538)</f>
        <v>0</v>
      </c>
      <c r="AM34" s="31">
        <f>F34*AE34</f>
        <v>0</v>
      </c>
      <c r="AN34" s="31">
        <f>F34*AF34</f>
        <v>0</v>
      </c>
      <c r="AO34" s="32" t="s">
        <v>198</v>
      </c>
      <c r="AP34" s="32" t="s">
        <v>210</v>
      </c>
      <c r="AQ34" s="24" t="s">
        <v>214</v>
      </c>
    </row>
    <row r="35" spans="1:43">
      <c r="A35" s="5"/>
      <c r="B35" s="12"/>
      <c r="C35" s="12" t="s">
        <v>60</v>
      </c>
      <c r="D35" s="85" t="s">
        <v>121</v>
      </c>
      <c r="E35" s="86"/>
      <c r="F35" s="86"/>
      <c r="G35" s="86"/>
      <c r="H35" s="34">
        <f>SUM(H36:H36)</f>
        <v>0</v>
      </c>
      <c r="I35" s="34">
        <f>SUM(I36:I36)</f>
        <v>0</v>
      </c>
      <c r="J35" s="34">
        <f>H35+I35</f>
        <v>0</v>
      </c>
      <c r="K35" s="24"/>
      <c r="L35" s="34">
        <f>SUM(L36:L36)</f>
        <v>7.1565325999999994</v>
      </c>
      <c r="M35" s="24"/>
      <c r="P35" s="34">
        <f>IF(Q35="PR",J35,SUM(O36:O36))</f>
        <v>0</v>
      </c>
      <c r="Q35" s="24" t="s">
        <v>183</v>
      </c>
      <c r="R35" s="34">
        <f>IF(Q35="HS",H35,0)</f>
        <v>0</v>
      </c>
      <c r="S35" s="34">
        <f>IF(Q35="HS",I35-P35,0)</f>
        <v>0</v>
      </c>
      <c r="T35" s="34">
        <f>IF(Q35="PS",H35,0)</f>
        <v>0</v>
      </c>
      <c r="U35" s="34">
        <f>IF(Q35="PS",I35-P35,0)</f>
        <v>0</v>
      </c>
      <c r="V35" s="34">
        <f>IF(Q35="MP",H35,0)</f>
        <v>0</v>
      </c>
      <c r="W35" s="34">
        <f>IF(Q35="MP",I35-P35,0)</f>
        <v>0</v>
      </c>
      <c r="X35" s="34">
        <f>IF(Q35="OM",H35,0)</f>
        <v>0</v>
      </c>
      <c r="Y35" s="24"/>
      <c r="AI35" s="34">
        <f>SUM(Z36:Z36)</f>
        <v>0</v>
      </c>
      <c r="AJ35" s="34">
        <f>SUM(AA36:AA36)</f>
        <v>0</v>
      </c>
      <c r="AK35" s="34">
        <f>SUM(AB36:AB36)</f>
        <v>0</v>
      </c>
    </row>
    <row r="36" spans="1:43">
      <c r="A36" s="4" t="s">
        <v>20</v>
      </c>
      <c r="B36" s="4"/>
      <c r="C36" s="4" t="s">
        <v>61</v>
      </c>
      <c r="D36" s="4" t="s">
        <v>122</v>
      </c>
      <c r="E36" s="4" t="s">
        <v>160</v>
      </c>
      <c r="F36" s="16">
        <v>2.59</v>
      </c>
      <c r="G36" s="16">
        <v>0</v>
      </c>
      <c r="H36" s="16">
        <f>F36*AE36</f>
        <v>0</v>
      </c>
      <c r="I36" s="16">
        <f>J36-H36</f>
        <v>0</v>
      </c>
      <c r="J36" s="16">
        <f>F36*G36</f>
        <v>0</v>
      </c>
      <c r="K36" s="16">
        <v>2.7631399999999999</v>
      </c>
      <c r="L36" s="16">
        <f>F36*K36</f>
        <v>7.1565325999999994</v>
      </c>
      <c r="M36" s="27" t="s">
        <v>180</v>
      </c>
      <c r="N36" s="27" t="s">
        <v>7</v>
      </c>
      <c r="O36" s="16">
        <f>IF(N36="5",I36,0)</f>
        <v>0</v>
      </c>
      <c r="Z36" s="16">
        <f>IF(AD36=0,J36,0)</f>
        <v>0</v>
      </c>
      <c r="AA36" s="16">
        <f>IF(AD36=15,J36,0)</f>
        <v>0</v>
      </c>
      <c r="AB36" s="16">
        <f>IF(AD36=21,J36,0)</f>
        <v>0</v>
      </c>
      <c r="AD36" s="31">
        <v>21</v>
      </c>
      <c r="AE36" s="31">
        <f>G36*0.878691612903226</f>
        <v>0</v>
      </c>
      <c r="AF36" s="31">
        <f>G36*(1-0.878691612903226)</f>
        <v>0</v>
      </c>
      <c r="AM36" s="31">
        <f>F36*AE36</f>
        <v>0</v>
      </c>
      <c r="AN36" s="31">
        <f>F36*AF36</f>
        <v>0</v>
      </c>
      <c r="AO36" s="32" t="s">
        <v>199</v>
      </c>
      <c r="AP36" s="32" t="s">
        <v>211</v>
      </c>
      <c r="AQ36" s="24" t="s">
        <v>214</v>
      </c>
    </row>
    <row r="37" spans="1:43">
      <c r="A37" s="5"/>
      <c r="B37" s="12"/>
      <c r="C37" s="12" t="s">
        <v>62</v>
      </c>
      <c r="D37" s="85" t="s">
        <v>123</v>
      </c>
      <c r="E37" s="86"/>
      <c r="F37" s="86"/>
      <c r="G37" s="86"/>
      <c r="H37" s="34">
        <f>SUM(H38:H38)</f>
        <v>0</v>
      </c>
      <c r="I37" s="34">
        <f>SUM(I38:I38)</f>
        <v>0</v>
      </c>
      <c r="J37" s="34">
        <f>H37+I37</f>
        <v>0</v>
      </c>
      <c r="K37" s="24"/>
      <c r="L37" s="34">
        <f>SUM(L38:L38)</f>
        <v>2.2522500000000001E-2</v>
      </c>
      <c r="M37" s="24"/>
      <c r="P37" s="34">
        <f>IF(Q37="PR",J37,SUM(O38:O38))</f>
        <v>0</v>
      </c>
      <c r="Q37" s="24" t="s">
        <v>183</v>
      </c>
      <c r="R37" s="34">
        <f>IF(Q37="HS",H37,0)</f>
        <v>0</v>
      </c>
      <c r="S37" s="34">
        <f>IF(Q37="HS",I37-P37,0)</f>
        <v>0</v>
      </c>
      <c r="T37" s="34">
        <f>IF(Q37="PS",H37,0)</f>
        <v>0</v>
      </c>
      <c r="U37" s="34">
        <f>IF(Q37="PS",I37-P37,0)</f>
        <v>0</v>
      </c>
      <c r="V37" s="34">
        <f>IF(Q37="MP",H37,0)</f>
        <v>0</v>
      </c>
      <c r="W37" s="34">
        <f>IF(Q37="MP",I37-P37,0)</f>
        <v>0</v>
      </c>
      <c r="X37" s="34">
        <f>IF(Q37="OM",H37,0)</f>
        <v>0</v>
      </c>
      <c r="Y37" s="24"/>
      <c r="AI37" s="34">
        <f>SUM(Z38:Z38)</f>
        <v>0</v>
      </c>
      <c r="AJ37" s="34">
        <f>SUM(AA38:AA38)</f>
        <v>0</v>
      </c>
      <c r="AK37" s="34">
        <f>SUM(AB38:AB38)</f>
        <v>0</v>
      </c>
    </row>
    <row r="38" spans="1:43">
      <c r="A38" s="4" t="s">
        <v>21</v>
      </c>
      <c r="B38" s="4"/>
      <c r="C38" s="4" t="s">
        <v>63</v>
      </c>
      <c r="D38" s="4" t="s">
        <v>124</v>
      </c>
      <c r="E38" s="4" t="s">
        <v>159</v>
      </c>
      <c r="F38" s="16">
        <v>107.25</v>
      </c>
      <c r="G38" s="16">
        <v>0</v>
      </c>
      <c r="H38" s="16">
        <f>F38*AE38</f>
        <v>0</v>
      </c>
      <c r="I38" s="16">
        <f>J38-H38</f>
        <v>0</v>
      </c>
      <c r="J38" s="16">
        <f>F38*G38</f>
        <v>0</v>
      </c>
      <c r="K38" s="16">
        <v>2.1000000000000001E-4</v>
      </c>
      <c r="L38" s="16">
        <f>F38*K38</f>
        <v>2.2522500000000001E-2</v>
      </c>
      <c r="M38" s="27" t="s">
        <v>180</v>
      </c>
      <c r="N38" s="27" t="s">
        <v>7</v>
      </c>
      <c r="O38" s="16">
        <f>IF(N38="5",I38,0)</f>
        <v>0</v>
      </c>
      <c r="Z38" s="16">
        <f>IF(AD38=0,J38,0)</f>
        <v>0</v>
      </c>
      <c r="AA38" s="16">
        <f>IF(AD38=15,J38,0)</f>
        <v>0</v>
      </c>
      <c r="AB38" s="16">
        <f>IF(AD38=21,J38,0)</f>
        <v>0</v>
      </c>
      <c r="AD38" s="31">
        <v>21</v>
      </c>
      <c r="AE38" s="31">
        <f>G38*0.0705850041197473</f>
        <v>0</v>
      </c>
      <c r="AF38" s="31">
        <f>G38*(1-0.0705850041197473)</f>
        <v>0</v>
      </c>
      <c r="AM38" s="31">
        <f>F38*AE38</f>
        <v>0</v>
      </c>
      <c r="AN38" s="31">
        <f>F38*AF38</f>
        <v>0</v>
      </c>
      <c r="AO38" s="32" t="s">
        <v>200</v>
      </c>
      <c r="AP38" s="32" t="s">
        <v>211</v>
      </c>
      <c r="AQ38" s="24" t="s">
        <v>214</v>
      </c>
    </row>
    <row r="39" spans="1:43">
      <c r="A39" s="5"/>
      <c r="B39" s="12"/>
      <c r="C39" s="12" t="s">
        <v>64</v>
      </c>
      <c r="D39" s="85" t="s">
        <v>125</v>
      </c>
      <c r="E39" s="86"/>
      <c r="F39" s="86"/>
      <c r="G39" s="86"/>
      <c r="H39" s="34">
        <f>SUM(H40:H42)</f>
        <v>0</v>
      </c>
      <c r="I39" s="34">
        <f>SUM(I40:I42)</f>
        <v>0</v>
      </c>
      <c r="J39" s="34">
        <f>H39+I39</f>
        <v>0</v>
      </c>
      <c r="K39" s="24"/>
      <c r="L39" s="34">
        <f>SUM(L40:L42)</f>
        <v>804.58373719999997</v>
      </c>
      <c r="M39" s="24"/>
      <c r="P39" s="34">
        <f>IF(Q39="PR",J39,SUM(O40:O42))</f>
        <v>0</v>
      </c>
      <c r="Q39" s="24" t="s">
        <v>183</v>
      </c>
      <c r="R39" s="34">
        <f>IF(Q39="HS",H39,0)</f>
        <v>0</v>
      </c>
      <c r="S39" s="34">
        <f>IF(Q39="HS",I39-P39,0)</f>
        <v>0</v>
      </c>
      <c r="T39" s="34">
        <f>IF(Q39="PS",H39,0)</f>
        <v>0</v>
      </c>
      <c r="U39" s="34">
        <f>IF(Q39="PS",I39-P39,0)</f>
        <v>0</v>
      </c>
      <c r="V39" s="34">
        <f>IF(Q39="MP",H39,0)</f>
        <v>0</v>
      </c>
      <c r="W39" s="34">
        <f>IF(Q39="MP",I39-P39,0)</f>
        <v>0</v>
      </c>
      <c r="X39" s="34">
        <f>IF(Q39="OM",H39,0)</f>
        <v>0</v>
      </c>
      <c r="Y39" s="24"/>
      <c r="AI39" s="34">
        <f>SUM(Z40:Z42)</f>
        <v>0</v>
      </c>
      <c r="AJ39" s="34">
        <f>SUM(AA40:AA42)</f>
        <v>0</v>
      </c>
      <c r="AK39" s="34">
        <f>SUM(AB40:AB42)</f>
        <v>0</v>
      </c>
    </row>
    <row r="40" spans="1:43">
      <c r="A40" s="4" t="s">
        <v>22</v>
      </c>
      <c r="B40" s="4"/>
      <c r="C40" s="4" t="s">
        <v>65</v>
      </c>
      <c r="D40" s="4" t="s">
        <v>126</v>
      </c>
      <c r="E40" s="4" t="s">
        <v>159</v>
      </c>
      <c r="F40" s="16">
        <v>37.130000000000003</v>
      </c>
      <c r="G40" s="16">
        <v>0</v>
      </c>
      <c r="H40" s="16">
        <f>F40*AE40</f>
        <v>0</v>
      </c>
      <c r="I40" s="16">
        <f>J40-H40</f>
        <v>0</v>
      </c>
      <c r="J40" s="16">
        <f>F40*G40</f>
        <v>0</v>
      </c>
      <c r="K40" s="16">
        <v>0.71643999999999997</v>
      </c>
      <c r="L40" s="16">
        <f>F40*K40</f>
        <v>26.6014172</v>
      </c>
      <c r="M40" s="27" t="s">
        <v>180</v>
      </c>
      <c r="N40" s="27" t="s">
        <v>7</v>
      </c>
      <c r="O40" s="16">
        <f>IF(N40="5",I40,0)</f>
        <v>0</v>
      </c>
      <c r="Z40" s="16">
        <f>IF(AD40=0,J40,0)</f>
        <v>0</v>
      </c>
      <c r="AA40" s="16">
        <f>IF(AD40=15,J40,0)</f>
        <v>0</v>
      </c>
      <c r="AB40" s="16">
        <f>IF(AD40=21,J40,0)</f>
        <v>0</v>
      </c>
      <c r="AD40" s="31">
        <v>21</v>
      </c>
      <c r="AE40" s="31">
        <f>G40*0.823133235724744</f>
        <v>0</v>
      </c>
      <c r="AF40" s="31">
        <f>G40*(1-0.823133235724744)</f>
        <v>0</v>
      </c>
      <c r="AM40" s="31">
        <f>F40*AE40</f>
        <v>0</v>
      </c>
      <c r="AN40" s="31">
        <f>F40*AF40</f>
        <v>0</v>
      </c>
      <c r="AO40" s="32" t="s">
        <v>201</v>
      </c>
      <c r="AP40" s="32" t="s">
        <v>212</v>
      </c>
      <c r="AQ40" s="24" t="s">
        <v>214</v>
      </c>
    </row>
    <row r="41" spans="1:43">
      <c r="A41" s="4" t="s">
        <v>23</v>
      </c>
      <c r="B41" s="4"/>
      <c r="C41" s="4" t="s">
        <v>66</v>
      </c>
      <c r="D41" s="4" t="s">
        <v>127</v>
      </c>
      <c r="E41" s="4" t="s">
        <v>159</v>
      </c>
      <c r="F41" s="16">
        <v>2636</v>
      </c>
      <c r="G41" s="16">
        <v>0</v>
      </c>
      <c r="H41" s="16">
        <f>F41*AE41</f>
        <v>0</v>
      </c>
      <c r="I41" s="16">
        <f>J41-H41</f>
        <v>0</v>
      </c>
      <c r="J41" s="16">
        <f>F41*G41</f>
        <v>0</v>
      </c>
      <c r="K41" s="16">
        <v>0.2646</v>
      </c>
      <c r="L41" s="16">
        <f>F41*K41</f>
        <v>697.48559999999998</v>
      </c>
      <c r="M41" s="27" t="s">
        <v>180</v>
      </c>
      <c r="N41" s="27" t="s">
        <v>7</v>
      </c>
      <c r="O41" s="16">
        <f>IF(N41="5",I41,0)</f>
        <v>0</v>
      </c>
      <c r="Z41" s="16">
        <f>IF(AD41=0,J41,0)</f>
        <v>0</v>
      </c>
      <c r="AA41" s="16">
        <f>IF(AD41=15,J41,0)</f>
        <v>0</v>
      </c>
      <c r="AB41" s="16">
        <f>IF(AD41=21,J41,0)</f>
        <v>0</v>
      </c>
      <c r="AD41" s="31">
        <v>21</v>
      </c>
      <c r="AE41" s="31">
        <f>G41*0.839153846153846</f>
        <v>0</v>
      </c>
      <c r="AF41" s="31">
        <f>G41*(1-0.839153846153846)</f>
        <v>0</v>
      </c>
      <c r="AM41" s="31">
        <f>F41*AE41</f>
        <v>0</v>
      </c>
      <c r="AN41" s="31">
        <f>F41*AF41</f>
        <v>0</v>
      </c>
      <c r="AO41" s="32" t="s">
        <v>201</v>
      </c>
      <c r="AP41" s="32" t="s">
        <v>212</v>
      </c>
      <c r="AQ41" s="24" t="s">
        <v>214</v>
      </c>
    </row>
    <row r="42" spans="1:43">
      <c r="A42" s="4" t="s">
        <v>24</v>
      </c>
      <c r="B42" s="4"/>
      <c r="C42" s="4" t="s">
        <v>67</v>
      </c>
      <c r="D42" s="4" t="s">
        <v>128</v>
      </c>
      <c r="E42" s="4" t="s">
        <v>159</v>
      </c>
      <c r="F42" s="16">
        <v>664</v>
      </c>
      <c r="G42" s="16">
        <v>0</v>
      </c>
      <c r="H42" s="16">
        <f>F42*AE42</f>
        <v>0</v>
      </c>
      <c r="I42" s="16">
        <f>J42-H42</f>
        <v>0</v>
      </c>
      <c r="J42" s="16">
        <f>F42*G42</f>
        <v>0</v>
      </c>
      <c r="K42" s="16">
        <v>0.12123</v>
      </c>
      <c r="L42" s="16">
        <f>F42*K42</f>
        <v>80.496719999999996</v>
      </c>
      <c r="M42" s="27" t="s">
        <v>180</v>
      </c>
      <c r="N42" s="27" t="s">
        <v>7</v>
      </c>
      <c r="O42" s="16">
        <f>IF(N42="5",I42,0)</f>
        <v>0</v>
      </c>
      <c r="Z42" s="16">
        <f>IF(AD42=0,J42,0)</f>
        <v>0</v>
      </c>
      <c r="AA42" s="16">
        <f>IF(AD42=15,J42,0)</f>
        <v>0</v>
      </c>
      <c r="AB42" s="16">
        <f>IF(AD42=21,J42,0)</f>
        <v>0</v>
      </c>
      <c r="AD42" s="31">
        <v>21</v>
      </c>
      <c r="AE42" s="31">
        <f>G42*0.687547169811321</f>
        <v>0</v>
      </c>
      <c r="AF42" s="31">
        <f>G42*(1-0.687547169811321)</f>
        <v>0</v>
      </c>
      <c r="AM42" s="31">
        <f>F42*AE42</f>
        <v>0</v>
      </c>
      <c r="AN42" s="31">
        <f>F42*AF42</f>
        <v>0</v>
      </c>
      <c r="AO42" s="32" t="s">
        <v>201</v>
      </c>
      <c r="AP42" s="32" t="s">
        <v>212</v>
      </c>
      <c r="AQ42" s="24" t="s">
        <v>214</v>
      </c>
    </row>
    <row r="43" spans="1:43">
      <c r="A43" s="5"/>
      <c r="B43" s="12"/>
      <c r="C43" s="12" t="s">
        <v>68</v>
      </c>
      <c r="D43" s="85" t="s">
        <v>129</v>
      </c>
      <c r="E43" s="86"/>
      <c r="F43" s="86"/>
      <c r="G43" s="86"/>
      <c r="H43" s="34">
        <f>SUM(H44:H45)</f>
        <v>0</v>
      </c>
      <c r="I43" s="34">
        <f>SUM(I44:I45)</f>
        <v>0</v>
      </c>
      <c r="J43" s="34">
        <f>H43+I43</f>
        <v>0</v>
      </c>
      <c r="K43" s="24"/>
      <c r="L43" s="34">
        <f>SUM(L44:L45)</f>
        <v>339.4855</v>
      </c>
      <c r="M43" s="24"/>
      <c r="P43" s="34">
        <f>IF(Q43="PR",J43,SUM(O44:O45))</f>
        <v>0</v>
      </c>
      <c r="Q43" s="24" t="s">
        <v>183</v>
      </c>
      <c r="R43" s="34">
        <f>IF(Q43="HS",H43,0)</f>
        <v>0</v>
      </c>
      <c r="S43" s="34">
        <f>IF(Q43="HS",I43-P43,0)</f>
        <v>0</v>
      </c>
      <c r="T43" s="34">
        <f>IF(Q43="PS",H43,0)</f>
        <v>0</v>
      </c>
      <c r="U43" s="34">
        <f>IF(Q43="PS",I43-P43,0)</f>
        <v>0</v>
      </c>
      <c r="V43" s="34">
        <f>IF(Q43="MP",H43,0)</f>
        <v>0</v>
      </c>
      <c r="W43" s="34">
        <f>IF(Q43="MP",I43-P43,0)</f>
        <v>0</v>
      </c>
      <c r="X43" s="34">
        <f>IF(Q43="OM",H43,0)</f>
        <v>0</v>
      </c>
      <c r="Y43" s="24"/>
      <c r="AI43" s="34">
        <f>SUM(Z44:Z45)</f>
        <v>0</v>
      </c>
      <c r="AJ43" s="34">
        <f>SUM(AA44:AA45)</f>
        <v>0</v>
      </c>
      <c r="AK43" s="34">
        <f>SUM(AB44:AB45)</f>
        <v>0</v>
      </c>
    </row>
    <row r="44" spans="1:43">
      <c r="A44" s="4" t="s">
        <v>25</v>
      </c>
      <c r="B44" s="4"/>
      <c r="C44" s="4" t="s">
        <v>69</v>
      </c>
      <c r="D44" s="4" t="s">
        <v>130</v>
      </c>
      <c r="E44" s="4" t="s">
        <v>159</v>
      </c>
      <c r="F44" s="16">
        <v>2636</v>
      </c>
      <c r="G44" s="16">
        <v>0</v>
      </c>
      <c r="H44" s="16">
        <f>F44*AE44</f>
        <v>0</v>
      </c>
      <c r="I44" s="16">
        <f>J44-H44</f>
        <v>0</v>
      </c>
      <c r="J44" s="16">
        <f>F44*G44</f>
        <v>0</v>
      </c>
      <c r="K44" s="16">
        <v>1.0619999999999999E-2</v>
      </c>
      <c r="L44" s="16">
        <f>F44*K44</f>
        <v>27.994319999999998</v>
      </c>
      <c r="M44" s="27" t="s">
        <v>180</v>
      </c>
      <c r="N44" s="27" t="s">
        <v>7</v>
      </c>
      <c r="O44" s="16">
        <f>IF(N44="5",I44,0)</f>
        <v>0</v>
      </c>
      <c r="Z44" s="16">
        <f>IF(AD44=0,J44,0)</f>
        <v>0</v>
      </c>
      <c r="AA44" s="16">
        <f>IF(AD44=15,J44,0)</f>
        <v>0</v>
      </c>
      <c r="AB44" s="16">
        <f>IF(AD44=21,J44,0)</f>
        <v>0</v>
      </c>
      <c r="AD44" s="31">
        <v>21</v>
      </c>
      <c r="AE44" s="31">
        <f>G44*0.561761546723953</f>
        <v>0</v>
      </c>
      <c r="AF44" s="31">
        <f>G44*(1-0.561761546723953)</f>
        <v>0</v>
      </c>
      <c r="AM44" s="31">
        <f>F44*AE44</f>
        <v>0</v>
      </c>
      <c r="AN44" s="31">
        <f>F44*AF44</f>
        <v>0</v>
      </c>
      <c r="AO44" s="32" t="s">
        <v>202</v>
      </c>
      <c r="AP44" s="32" t="s">
        <v>212</v>
      </c>
      <c r="AQ44" s="24" t="s">
        <v>214</v>
      </c>
    </row>
    <row r="45" spans="1:43">
      <c r="A45" s="4" t="s">
        <v>26</v>
      </c>
      <c r="B45" s="4"/>
      <c r="C45" s="4" t="s">
        <v>70</v>
      </c>
      <c r="D45" s="4" t="s">
        <v>131</v>
      </c>
      <c r="E45" s="4" t="s">
        <v>159</v>
      </c>
      <c r="F45" s="16">
        <v>2002</v>
      </c>
      <c r="G45" s="16">
        <v>0</v>
      </c>
      <c r="H45" s="16">
        <f>F45*AE45</f>
        <v>0</v>
      </c>
      <c r="I45" s="16">
        <f>J45-H45</f>
        <v>0</v>
      </c>
      <c r="J45" s="16">
        <f>F45*G45</f>
        <v>0</v>
      </c>
      <c r="K45" s="16">
        <v>0.15559000000000001</v>
      </c>
      <c r="L45" s="16">
        <f>F45*K45</f>
        <v>311.49117999999999</v>
      </c>
      <c r="M45" s="27" t="s">
        <v>180</v>
      </c>
      <c r="N45" s="27" t="s">
        <v>7</v>
      </c>
      <c r="O45" s="16">
        <f>IF(N45="5",I45,0)</f>
        <v>0</v>
      </c>
      <c r="Z45" s="16">
        <f>IF(AD45=0,J45,0)</f>
        <v>0</v>
      </c>
      <c r="AA45" s="16">
        <f>IF(AD45=15,J45,0)</f>
        <v>0</v>
      </c>
      <c r="AB45" s="16">
        <f>IF(AD45=21,J45,0)</f>
        <v>0</v>
      </c>
      <c r="AD45" s="31">
        <v>21</v>
      </c>
      <c r="AE45" s="31">
        <f>G45*0.888456549935149</f>
        <v>0</v>
      </c>
      <c r="AF45" s="31">
        <f>G45*(1-0.888456549935149)</f>
        <v>0</v>
      </c>
      <c r="AM45" s="31">
        <f>F45*AE45</f>
        <v>0</v>
      </c>
      <c r="AN45" s="31">
        <f>F45*AF45</f>
        <v>0</v>
      </c>
      <c r="AO45" s="32" t="s">
        <v>202</v>
      </c>
      <c r="AP45" s="32" t="s">
        <v>212</v>
      </c>
      <c r="AQ45" s="24" t="s">
        <v>214</v>
      </c>
    </row>
    <row r="46" spans="1:43">
      <c r="A46" s="5"/>
      <c r="B46" s="12"/>
      <c r="C46" s="12" t="s">
        <v>71</v>
      </c>
      <c r="D46" s="85" t="s">
        <v>132</v>
      </c>
      <c r="E46" s="86"/>
      <c r="F46" s="86"/>
      <c r="G46" s="86"/>
      <c r="H46" s="34">
        <f>SUM(H47:H51)</f>
        <v>0</v>
      </c>
      <c r="I46" s="34">
        <f>SUM(I47:I51)</f>
        <v>0</v>
      </c>
      <c r="J46" s="34">
        <f>H46+I46</f>
        <v>0</v>
      </c>
      <c r="K46" s="24"/>
      <c r="L46" s="34">
        <f>SUM(L47:L51)</f>
        <v>42.702055000000001</v>
      </c>
      <c r="M46" s="24"/>
      <c r="P46" s="34">
        <f>IF(Q46="PR",J46,SUM(O47:O51))</f>
        <v>0</v>
      </c>
      <c r="Q46" s="24" t="s">
        <v>183</v>
      </c>
      <c r="R46" s="34">
        <f>IF(Q46="HS",H46,0)</f>
        <v>0</v>
      </c>
      <c r="S46" s="34">
        <f>IF(Q46="HS",I46-P46,0)</f>
        <v>0</v>
      </c>
      <c r="T46" s="34">
        <f>IF(Q46="PS",H46,0)</f>
        <v>0</v>
      </c>
      <c r="U46" s="34">
        <f>IF(Q46="PS",I46-P46,0)</f>
        <v>0</v>
      </c>
      <c r="V46" s="34">
        <f>IF(Q46="MP",H46,0)</f>
        <v>0</v>
      </c>
      <c r="W46" s="34">
        <f>IF(Q46="MP",I46-P46,0)</f>
        <v>0</v>
      </c>
      <c r="X46" s="34">
        <f>IF(Q46="OM",H46,0)</f>
        <v>0</v>
      </c>
      <c r="Y46" s="24"/>
      <c r="AI46" s="34">
        <f>SUM(Z47:Z51)</f>
        <v>0</v>
      </c>
      <c r="AJ46" s="34">
        <f>SUM(AA47:AA51)</f>
        <v>0</v>
      </c>
      <c r="AK46" s="34">
        <f>SUM(AB47:AB51)</f>
        <v>0</v>
      </c>
    </row>
    <row r="47" spans="1:43">
      <c r="A47" s="4" t="s">
        <v>27</v>
      </c>
      <c r="B47" s="4"/>
      <c r="C47" s="4" t="s">
        <v>72</v>
      </c>
      <c r="D47" s="4" t="s">
        <v>133</v>
      </c>
      <c r="E47" s="4" t="s">
        <v>161</v>
      </c>
      <c r="F47" s="16">
        <v>1</v>
      </c>
      <c r="G47" s="16">
        <v>0</v>
      </c>
      <c r="H47" s="16">
        <f>F47*AE47</f>
        <v>0</v>
      </c>
      <c r="I47" s="16">
        <f>J47-H47</f>
        <v>0</v>
      </c>
      <c r="J47" s="16">
        <f>F47*G47</f>
        <v>0</v>
      </c>
      <c r="K47" s="16">
        <v>16.01276</v>
      </c>
      <c r="L47" s="16">
        <f>F47*K47</f>
        <v>16.01276</v>
      </c>
      <c r="M47" s="27" t="s">
        <v>180</v>
      </c>
      <c r="N47" s="27" t="s">
        <v>7</v>
      </c>
      <c r="O47" s="16">
        <f>IF(N47="5",I47,0)</f>
        <v>0</v>
      </c>
      <c r="Z47" s="16">
        <f>IF(AD47=0,J47,0)</f>
        <v>0</v>
      </c>
      <c r="AA47" s="16">
        <f>IF(AD47=15,J47,0)</f>
        <v>0</v>
      </c>
      <c r="AB47" s="16">
        <f>IF(AD47=21,J47,0)</f>
        <v>0</v>
      </c>
      <c r="AD47" s="31">
        <v>21</v>
      </c>
      <c r="AE47" s="31">
        <f>G47*0.489623937436246</f>
        <v>0</v>
      </c>
      <c r="AF47" s="31">
        <f>G47*(1-0.489623937436246)</f>
        <v>0</v>
      </c>
      <c r="AM47" s="31">
        <f>F47*AE47</f>
        <v>0</v>
      </c>
      <c r="AN47" s="31">
        <f>F47*AF47</f>
        <v>0</v>
      </c>
      <c r="AO47" s="32" t="s">
        <v>203</v>
      </c>
      <c r="AP47" s="32" t="s">
        <v>213</v>
      </c>
      <c r="AQ47" s="24" t="s">
        <v>214</v>
      </c>
    </row>
    <row r="48" spans="1:43">
      <c r="A48" s="4" t="s">
        <v>28</v>
      </c>
      <c r="B48" s="4"/>
      <c r="C48" s="4" t="s">
        <v>73</v>
      </c>
      <c r="D48" s="4" t="s">
        <v>134</v>
      </c>
      <c r="E48" s="4" t="s">
        <v>162</v>
      </c>
      <c r="F48" s="16">
        <v>7.5</v>
      </c>
      <c r="G48" s="16">
        <v>0</v>
      </c>
      <c r="H48" s="16">
        <f>F48*AE48</f>
        <v>0</v>
      </c>
      <c r="I48" s="16">
        <f>J48-H48</f>
        <v>0</v>
      </c>
      <c r="J48" s="16">
        <f>F48*G48</f>
        <v>0</v>
      </c>
      <c r="K48" s="16">
        <v>1.32019</v>
      </c>
      <c r="L48" s="16">
        <f>F48*K48</f>
        <v>9.9014249999999997</v>
      </c>
      <c r="M48" s="27" t="s">
        <v>180</v>
      </c>
      <c r="N48" s="27" t="s">
        <v>7</v>
      </c>
      <c r="O48" s="16">
        <f>IF(N48="5",I48,0)</f>
        <v>0</v>
      </c>
      <c r="Z48" s="16">
        <f>IF(AD48=0,J48,0)</f>
        <v>0</v>
      </c>
      <c r="AA48" s="16">
        <f>IF(AD48=15,J48,0)</f>
        <v>0</v>
      </c>
      <c r="AB48" s="16">
        <f>IF(AD48=21,J48,0)</f>
        <v>0</v>
      </c>
      <c r="AD48" s="31">
        <v>21</v>
      </c>
      <c r="AE48" s="31">
        <f>G48*0.668039918116684</f>
        <v>0</v>
      </c>
      <c r="AF48" s="31">
        <f>G48*(1-0.668039918116684)</f>
        <v>0</v>
      </c>
      <c r="AM48" s="31">
        <f>F48*AE48</f>
        <v>0</v>
      </c>
      <c r="AN48" s="31">
        <f>F48*AF48</f>
        <v>0</v>
      </c>
      <c r="AO48" s="32" t="s">
        <v>203</v>
      </c>
      <c r="AP48" s="32" t="s">
        <v>213</v>
      </c>
      <c r="AQ48" s="24" t="s">
        <v>214</v>
      </c>
    </row>
    <row r="49" spans="1:43">
      <c r="A49" s="4" t="s">
        <v>29</v>
      </c>
      <c r="B49" s="4"/>
      <c r="C49" s="4" t="s">
        <v>74</v>
      </c>
      <c r="D49" s="4" t="s">
        <v>135</v>
      </c>
      <c r="E49" s="4" t="s">
        <v>161</v>
      </c>
      <c r="F49" s="16">
        <v>1</v>
      </c>
      <c r="G49" s="16">
        <v>0</v>
      </c>
      <c r="H49" s="16">
        <f>F49*AE49</f>
        <v>0</v>
      </c>
      <c r="I49" s="16">
        <f>J49-H49</f>
        <v>0</v>
      </c>
      <c r="J49" s="16">
        <f>F49*G49</f>
        <v>0</v>
      </c>
      <c r="K49" s="16">
        <v>16.787870000000002</v>
      </c>
      <c r="L49" s="16">
        <f>F49*K49</f>
        <v>16.787870000000002</v>
      </c>
      <c r="M49" s="27" t="s">
        <v>180</v>
      </c>
      <c r="N49" s="27" t="s">
        <v>7</v>
      </c>
      <c r="O49" s="16">
        <f>IF(N49="5",I49,0)</f>
        <v>0</v>
      </c>
      <c r="Z49" s="16">
        <f>IF(AD49=0,J49,0)</f>
        <v>0</v>
      </c>
      <c r="AA49" s="16">
        <f>IF(AD49=15,J49,0)</f>
        <v>0</v>
      </c>
      <c r="AB49" s="16">
        <f>IF(AD49=21,J49,0)</f>
        <v>0</v>
      </c>
      <c r="AD49" s="31">
        <v>21</v>
      </c>
      <c r="AE49" s="31">
        <f>G49*0.546522037572254</f>
        <v>0</v>
      </c>
      <c r="AF49" s="31">
        <f>G49*(1-0.546522037572254)</f>
        <v>0</v>
      </c>
      <c r="AM49" s="31">
        <f>F49*AE49</f>
        <v>0</v>
      </c>
      <c r="AN49" s="31">
        <f>F49*AF49</f>
        <v>0</v>
      </c>
      <c r="AO49" s="32" t="s">
        <v>203</v>
      </c>
      <c r="AP49" s="32" t="s">
        <v>213</v>
      </c>
      <c r="AQ49" s="24" t="s">
        <v>214</v>
      </c>
    </row>
    <row r="50" spans="1:43">
      <c r="A50" s="4" t="s">
        <v>30</v>
      </c>
      <c r="B50" s="4"/>
      <c r="C50" s="4" t="s">
        <v>75</v>
      </c>
      <c r="D50" s="4" t="s">
        <v>136</v>
      </c>
      <c r="E50" s="4" t="s">
        <v>162</v>
      </c>
      <c r="F50" s="16">
        <v>3</v>
      </c>
      <c r="G50" s="16">
        <v>0</v>
      </c>
      <c r="H50" s="16">
        <f>F50*AE50</f>
        <v>0</v>
      </c>
      <c r="I50" s="16">
        <f>J50-H50</f>
        <v>0</v>
      </c>
      <c r="J50" s="16">
        <f>F50*G50</f>
        <v>0</v>
      </c>
      <c r="K50" s="16">
        <v>0</v>
      </c>
      <c r="L50" s="16">
        <f>F50*K50</f>
        <v>0</v>
      </c>
      <c r="M50" s="27" t="s">
        <v>180</v>
      </c>
      <c r="N50" s="27" t="s">
        <v>7</v>
      </c>
      <c r="O50" s="16">
        <f>IF(N50="5",I50,0)</f>
        <v>0</v>
      </c>
      <c r="Z50" s="16">
        <f>IF(AD50=0,J50,0)</f>
        <v>0</v>
      </c>
      <c r="AA50" s="16">
        <f>IF(AD50=15,J50,0)</f>
        <v>0</v>
      </c>
      <c r="AB50" s="16">
        <f>IF(AD50=21,J50,0)</f>
        <v>0</v>
      </c>
      <c r="AD50" s="31">
        <v>21</v>
      </c>
      <c r="AE50" s="31">
        <f>G50*0.637895602137279</f>
        <v>0</v>
      </c>
      <c r="AF50" s="31">
        <f>G50*(1-0.637895602137279)</f>
        <v>0</v>
      </c>
      <c r="AM50" s="31">
        <f>F50*AE50</f>
        <v>0</v>
      </c>
      <c r="AN50" s="31">
        <f>F50*AF50</f>
        <v>0</v>
      </c>
      <c r="AO50" s="32" t="s">
        <v>203</v>
      </c>
      <c r="AP50" s="32" t="s">
        <v>213</v>
      </c>
      <c r="AQ50" s="24" t="s">
        <v>214</v>
      </c>
    </row>
    <row r="51" spans="1:43">
      <c r="A51" s="4" t="s">
        <v>31</v>
      </c>
      <c r="B51" s="4"/>
      <c r="C51" s="4" t="s">
        <v>76</v>
      </c>
      <c r="D51" s="4" t="s">
        <v>137</v>
      </c>
      <c r="E51" s="4" t="s">
        <v>161</v>
      </c>
      <c r="F51" s="16">
        <v>1</v>
      </c>
      <c r="G51" s="16">
        <v>0</v>
      </c>
      <c r="H51" s="16">
        <f>F51*AE51</f>
        <v>0</v>
      </c>
      <c r="I51" s="16">
        <f>J51-H51</f>
        <v>0</v>
      </c>
      <c r="J51" s="16">
        <f>F51*G51</f>
        <v>0</v>
      </c>
      <c r="K51" s="16">
        <v>0</v>
      </c>
      <c r="L51" s="16">
        <f>F51*K51</f>
        <v>0</v>
      </c>
      <c r="M51" s="27" t="s">
        <v>180</v>
      </c>
      <c r="N51" s="27" t="s">
        <v>7</v>
      </c>
      <c r="O51" s="16">
        <f>IF(N51="5",I51,0)</f>
        <v>0</v>
      </c>
      <c r="Z51" s="16">
        <f>IF(AD51=0,J51,0)</f>
        <v>0</v>
      </c>
      <c r="AA51" s="16">
        <f>IF(AD51=15,J51,0)</f>
        <v>0</v>
      </c>
      <c r="AB51" s="16">
        <f>IF(AD51=21,J51,0)</f>
        <v>0</v>
      </c>
      <c r="AD51" s="31">
        <v>21</v>
      </c>
      <c r="AE51" s="31">
        <f>G51*0</f>
        <v>0</v>
      </c>
      <c r="AF51" s="31">
        <f>G51*(1-0)</f>
        <v>0</v>
      </c>
      <c r="AM51" s="31">
        <f>F51*AE51</f>
        <v>0</v>
      </c>
      <c r="AN51" s="31">
        <f>F51*AF51</f>
        <v>0</v>
      </c>
      <c r="AO51" s="32" t="s">
        <v>203</v>
      </c>
      <c r="AP51" s="32" t="s">
        <v>213</v>
      </c>
      <c r="AQ51" s="24" t="s">
        <v>214</v>
      </c>
    </row>
    <row r="52" spans="1:43">
      <c r="A52" s="5"/>
      <c r="B52" s="12"/>
      <c r="C52" s="12" t="s">
        <v>77</v>
      </c>
      <c r="D52" s="85" t="s">
        <v>138</v>
      </c>
      <c r="E52" s="86"/>
      <c r="F52" s="86"/>
      <c r="G52" s="86"/>
      <c r="H52" s="34">
        <f>SUM(H53:H53)</f>
        <v>0</v>
      </c>
      <c r="I52" s="34">
        <f>SUM(I53:I53)</f>
        <v>0</v>
      </c>
      <c r="J52" s="34">
        <f>H52+I52</f>
        <v>0</v>
      </c>
      <c r="K52" s="24"/>
      <c r="L52" s="34">
        <f>SUM(L53:L53)</f>
        <v>0</v>
      </c>
      <c r="M52" s="24"/>
      <c r="P52" s="34">
        <f>IF(Q52="PR",J52,SUM(O53:O53))</f>
        <v>0</v>
      </c>
      <c r="Q52" s="24" t="s">
        <v>183</v>
      </c>
      <c r="R52" s="34">
        <f>IF(Q52="HS",H52,0)</f>
        <v>0</v>
      </c>
      <c r="S52" s="34">
        <f>IF(Q52="HS",I52-P52,0)</f>
        <v>0</v>
      </c>
      <c r="T52" s="34">
        <f>IF(Q52="PS",H52,0)</f>
        <v>0</v>
      </c>
      <c r="U52" s="34">
        <f>IF(Q52="PS",I52-P52,0)</f>
        <v>0</v>
      </c>
      <c r="V52" s="34">
        <f>IF(Q52="MP",H52,0)</f>
        <v>0</v>
      </c>
      <c r="W52" s="34">
        <f>IF(Q52="MP",I52-P52,0)</f>
        <v>0</v>
      </c>
      <c r="X52" s="34">
        <f>IF(Q52="OM",H52,0)</f>
        <v>0</v>
      </c>
      <c r="Y52" s="24"/>
      <c r="AI52" s="34">
        <f>SUM(Z53:Z53)</f>
        <v>0</v>
      </c>
      <c r="AJ52" s="34">
        <f>SUM(AA53:AA53)</f>
        <v>0</v>
      </c>
      <c r="AK52" s="34">
        <f>SUM(AB53:AB53)</f>
        <v>0</v>
      </c>
    </row>
    <row r="53" spans="1:43">
      <c r="A53" s="4" t="s">
        <v>32</v>
      </c>
      <c r="B53" s="4"/>
      <c r="C53" s="4" t="s">
        <v>78</v>
      </c>
      <c r="D53" s="4" t="s">
        <v>139</v>
      </c>
      <c r="E53" s="4" t="s">
        <v>162</v>
      </c>
      <c r="F53" s="16">
        <v>638</v>
      </c>
      <c r="G53" s="16">
        <v>0</v>
      </c>
      <c r="H53" s="16">
        <f>F53*AE53</f>
        <v>0</v>
      </c>
      <c r="I53" s="16">
        <f>J53-H53</f>
        <v>0</v>
      </c>
      <c r="J53" s="16">
        <f>F53*G53</f>
        <v>0</v>
      </c>
      <c r="K53" s="16">
        <v>0</v>
      </c>
      <c r="L53" s="16">
        <f>F53*K53</f>
        <v>0</v>
      </c>
      <c r="M53" s="27" t="s">
        <v>180</v>
      </c>
      <c r="N53" s="27" t="s">
        <v>7</v>
      </c>
      <c r="O53" s="16">
        <f>IF(N53="5",I53,0)</f>
        <v>0</v>
      </c>
      <c r="Z53" s="16">
        <f>IF(AD53=0,J53,0)</f>
        <v>0</v>
      </c>
      <c r="AA53" s="16">
        <f>IF(AD53=15,J53,0)</f>
        <v>0</v>
      </c>
      <c r="AB53" s="16">
        <f>IF(AD53=21,J53,0)</f>
        <v>0</v>
      </c>
      <c r="AD53" s="31">
        <v>21</v>
      </c>
      <c r="AE53" s="31">
        <f>G53*0</f>
        <v>0</v>
      </c>
      <c r="AF53" s="31">
        <f>G53*(1-0)</f>
        <v>0</v>
      </c>
      <c r="AM53" s="31">
        <f>F53*AE53</f>
        <v>0</v>
      </c>
      <c r="AN53" s="31">
        <f>F53*AF53</f>
        <v>0</v>
      </c>
      <c r="AO53" s="32" t="s">
        <v>204</v>
      </c>
      <c r="AP53" s="32" t="s">
        <v>213</v>
      </c>
      <c r="AQ53" s="24" t="s">
        <v>214</v>
      </c>
    </row>
    <row r="54" spans="1:43">
      <c r="A54" s="5"/>
      <c r="B54" s="12"/>
      <c r="C54" s="12" t="s">
        <v>79</v>
      </c>
      <c r="D54" s="85" t="s">
        <v>140</v>
      </c>
      <c r="E54" s="86"/>
      <c r="F54" s="86"/>
      <c r="G54" s="86"/>
      <c r="H54" s="34">
        <f>SUM(H55:H59)</f>
        <v>0</v>
      </c>
      <c r="I54" s="34">
        <f>SUM(I55:I59)</f>
        <v>0</v>
      </c>
      <c r="J54" s="34">
        <f>H54+I54</f>
        <v>0</v>
      </c>
      <c r="K54" s="24"/>
      <c r="L54" s="34">
        <f>SUM(L55:L59)</f>
        <v>143.07497499999999</v>
      </c>
      <c r="M54" s="24"/>
      <c r="P54" s="34">
        <f>IF(Q54="PR",J54,SUM(O55:O59))</f>
        <v>0</v>
      </c>
      <c r="Q54" s="24" t="s">
        <v>183</v>
      </c>
      <c r="R54" s="34">
        <f>IF(Q54="HS",H54,0)</f>
        <v>0</v>
      </c>
      <c r="S54" s="34">
        <f>IF(Q54="HS",I54-P54,0)</f>
        <v>0</v>
      </c>
      <c r="T54" s="34">
        <f>IF(Q54="PS",H54,0)</f>
        <v>0</v>
      </c>
      <c r="U54" s="34">
        <f>IF(Q54="PS",I54-P54,0)</f>
        <v>0</v>
      </c>
      <c r="V54" s="34">
        <f>IF(Q54="MP",H54,0)</f>
        <v>0</v>
      </c>
      <c r="W54" s="34">
        <f>IF(Q54="MP",I54-P54,0)</f>
        <v>0</v>
      </c>
      <c r="X54" s="34">
        <f>IF(Q54="OM",H54,0)</f>
        <v>0</v>
      </c>
      <c r="Y54" s="24"/>
      <c r="AI54" s="34">
        <f>SUM(Z55:Z59)</f>
        <v>0</v>
      </c>
      <c r="AJ54" s="34">
        <f>SUM(AA55:AA59)</f>
        <v>0</v>
      </c>
      <c r="AK54" s="34">
        <f>SUM(AB55:AB59)</f>
        <v>0</v>
      </c>
    </row>
    <row r="55" spans="1:43">
      <c r="A55" s="4" t="s">
        <v>33</v>
      </c>
      <c r="B55" s="4"/>
      <c r="C55" s="4" t="s">
        <v>80</v>
      </c>
      <c r="D55" s="4" t="s">
        <v>141</v>
      </c>
      <c r="E55" s="4" t="s">
        <v>162</v>
      </c>
      <c r="F55" s="16">
        <v>5</v>
      </c>
      <c r="G55" s="16">
        <v>0</v>
      </c>
      <c r="H55" s="16">
        <f>F55*AE55</f>
        <v>0</v>
      </c>
      <c r="I55" s="16">
        <f>J55-H55</f>
        <v>0</v>
      </c>
      <c r="J55" s="16">
        <f>F55*G55</f>
        <v>0</v>
      </c>
      <c r="K55" s="16">
        <v>0.98</v>
      </c>
      <c r="L55" s="16">
        <f>F55*K55</f>
        <v>4.9000000000000004</v>
      </c>
      <c r="M55" s="27" t="s">
        <v>180</v>
      </c>
      <c r="N55" s="27" t="s">
        <v>7</v>
      </c>
      <c r="O55" s="16">
        <f>IF(N55="5",I55,0)</f>
        <v>0</v>
      </c>
      <c r="Z55" s="16">
        <f>IF(AD55=0,J55,0)</f>
        <v>0</v>
      </c>
      <c r="AA55" s="16">
        <f>IF(AD55=15,J55,0)</f>
        <v>0</v>
      </c>
      <c r="AB55" s="16">
        <f>IF(AD55=21,J55,0)</f>
        <v>0</v>
      </c>
      <c r="AD55" s="31">
        <v>21</v>
      </c>
      <c r="AE55" s="31">
        <f>G55*0</f>
        <v>0</v>
      </c>
      <c r="AF55" s="31">
        <f>G55*(1-0)</f>
        <v>0</v>
      </c>
      <c r="AM55" s="31">
        <f>F55*AE55</f>
        <v>0</v>
      </c>
      <c r="AN55" s="31">
        <f>F55*AF55</f>
        <v>0</v>
      </c>
      <c r="AO55" s="32" t="s">
        <v>205</v>
      </c>
      <c r="AP55" s="32" t="s">
        <v>213</v>
      </c>
      <c r="AQ55" s="24" t="s">
        <v>214</v>
      </c>
    </row>
    <row r="56" spans="1:43">
      <c r="A56" s="4" t="s">
        <v>34</v>
      </c>
      <c r="B56" s="4"/>
      <c r="C56" s="4" t="s">
        <v>81</v>
      </c>
      <c r="D56" s="4" t="s">
        <v>142</v>
      </c>
      <c r="E56" s="4" t="s">
        <v>160</v>
      </c>
      <c r="F56" s="16">
        <v>39.26</v>
      </c>
      <c r="G56" s="16">
        <v>0</v>
      </c>
      <c r="H56" s="16">
        <f>F56*AE56</f>
        <v>0</v>
      </c>
      <c r="I56" s="16">
        <f>J56-H56</f>
        <v>0</v>
      </c>
      <c r="J56" s="16">
        <f>F56*G56</f>
        <v>0</v>
      </c>
      <c r="K56" s="16">
        <v>2.61</v>
      </c>
      <c r="L56" s="16">
        <f>F56*K56</f>
        <v>102.4686</v>
      </c>
      <c r="M56" s="27" t="s">
        <v>180</v>
      </c>
      <c r="N56" s="27" t="s">
        <v>7</v>
      </c>
      <c r="O56" s="16">
        <f>IF(N56="5",I56,0)</f>
        <v>0</v>
      </c>
      <c r="Z56" s="16">
        <f>IF(AD56=0,J56,0)</f>
        <v>0</v>
      </c>
      <c r="AA56" s="16">
        <f>IF(AD56=15,J56,0)</f>
        <v>0</v>
      </c>
      <c r="AB56" s="16">
        <f>IF(AD56=21,J56,0)</f>
        <v>0</v>
      </c>
      <c r="AD56" s="31">
        <v>21</v>
      </c>
      <c r="AE56" s="31">
        <f>G56*0.000308341333856579</f>
        <v>0</v>
      </c>
      <c r="AF56" s="31">
        <f>G56*(1-0.000308341333856579)</f>
        <v>0</v>
      </c>
      <c r="AM56" s="31">
        <f>F56*AE56</f>
        <v>0</v>
      </c>
      <c r="AN56" s="31">
        <f>F56*AF56</f>
        <v>0</v>
      </c>
      <c r="AO56" s="32" t="s">
        <v>205</v>
      </c>
      <c r="AP56" s="32" t="s">
        <v>213</v>
      </c>
      <c r="AQ56" s="24" t="s">
        <v>214</v>
      </c>
    </row>
    <row r="57" spans="1:43">
      <c r="A57" s="4" t="s">
        <v>35</v>
      </c>
      <c r="B57" s="4"/>
      <c r="C57" s="4" t="s">
        <v>82</v>
      </c>
      <c r="D57" s="4" t="s">
        <v>143</v>
      </c>
      <c r="E57" s="4" t="s">
        <v>160</v>
      </c>
      <c r="F57" s="16">
        <v>2.59</v>
      </c>
      <c r="G57" s="16">
        <v>0</v>
      </c>
      <c r="H57" s="16">
        <f>F57*AE57</f>
        <v>0</v>
      </c>
      <c r="I57" s="16">
        <f>J57-H57</f>
        <v>0</v>
      </c>
      <c r="J57" s="16">
        <f>F57*G57</f>
        <v>0</v>
      </c>
      <c r="K57" s="16">
        <v>2.2124999999999999</v>
      </c>
      <c r="L57" s="16">
        <f>F57*K57</f>
        <v>5.7303749999999996</v>
      </c>
      <c r="M57" s="27" t="s">
        <v>180</v>
      </c>
      <c r="N57" s="27" t="s">
        <v>7</v>
      </c>
      <c r="O57" s="16">
        <f>IF(N57="5",I57,0)</f>
        <v>0</v>
      </c>
      <c r="Z57" s="16">
        <f>IF(AD57=0,J57,0)</f>
        <v>0</v>
      </c>
      <c r="AA57" s="16">
        <f>IF(AD57=15,J57,0)</f>
        <v>0</v>
      </c>
      <c r="AB57" s="16">
        <f>IF(AD57=21,J57,0)</f>
        <v>0</v>
      </c>
      <c r="AD57" s="31">
        <v>21</v>
      </c>
      <c r="AE57" s="31">
        <f>G57*0.12596186440678</f>
        <v>0</v>
      </c>
      <c r="AF57" s="31">
        <f>G57*(1-0.12596186440678)</f>
        <v>0</v>
      </c>
      <c r="AM57" s="31">
        <f>F57*AE57</f>
        <v>0</v>
      </c>
      <c r="AN57" s="31">
        <f>F57*AF57</f>
        <v>0</v>
      </c>
      <c r="AO57" s="32" t="s">
        <v>205</v>
      </c>
      <c r="AP57" s="32" t="s">
        <v>213</v>
      </c>
      <c r="AQ57" s="24" t="s">
        <v>214</v>
      </c>
    </row>
    <row r="58" spans="1:43">
      <c r="A58" s="4" t="s">
        <v>36</v>
      </c>
      <c r="B58" s="4"/>
      <c r="C58" s="4" t="s">
        <v>83</v>
      </c>
      <c r="D58" s="4" t="s">
        <v>144</v>
      </c>
      <c r="E58" s="4" t="s">
        <v>162</v>
      </c>
      <c r="F58" s="16">
        <v>18</v>
      </c>
      <c r="G58" s="16">
        <v>0</v>
      </c>
      <c r="H58" s="16">
        <f>F58*AE58</f>
        <v>0</v>
      </c>
      <c r="I58" s="16">
        <f>J58-H58</f>
        <v>0</v>
      </c>
      <c r="J58" s="16">
        <f>F58*G58</f>
        <v>0</v>
      </c>
      <c r="K58" s="16">
        <v>2.5000000000000001E-2</v>
      </c>
      <c r="L58" s="16">
        <f>F58*K58</f>
        <v>0.45</v>
      </c>
      <c r="M58" s="27" t="s">
        <v>180</v>
      </c>
      <c r="N58" s="27" t="s">
        <v>7</v>
      </c>
      <c r="O58" s="16">
        <f>IF(N58="5",I58,0)</f>
        <v>0</v>
      </c>
      <c r="Z58" s="16">
        <f>IF(AD58=0,J58,0)</f>
        <v>0</v>
      </c>
      <c r="AA58" s="16">
        <f>IF(AD58=15,J58,0)</f>
        <v>0</v>
      </c>
      <c r="AB58" s="16">
        <f>IF(AD58=21,J58,0)</f>
        <v>0</v>
      </c>
      <c r="AD58" s="31">
        <v>21</v>
      </c>
      <c r="AE58" s="31">
        <f>G58*0</f>
        <v>0</v>
      </c>
      <c r="AF58" s="31">
        <f>G58*(1-0)</f>
        <v>0</v>
      </c>
      <c r="AM58" s="31">
        <f>F58*AE58</f>
        <v>0</v>
      </c>
      <c r="AN58" s="31">
        <f>F58*AF58</f>
        <v>0</v>
      </c>
      <c r="AO58" s="32" t="s">
        <v>205</v>
      </c>
      <c r="AP58" s="32" t="s">
        <v>213</v>
      </c>
      <c r="AQ58" s="24" t="s">
        <v>214</v>
      </c>
    </row>
    <row r="59" spans="1:43">
      <c r="A59" s="4" t="s">
        <v>37</v>
      </c>
      <c r="B59" s="4"/>
      <c r="C59" s="4" t="s">
        <v>84</v>
      </c>
      <c r="D59" s="4" t="s">
        <v>145</v>
      </c>
      <c r="E59" s="4" t="s">
        <v>160</v>
      </c>
      <c r="F59" s="16">
        <v>21.09</v>
      </c>
      <c r="G59" s="16">
        <v>0</v>
      </c>
      <c r="H59" s="16">
        <f>F59*AE59</f>
        <v>0</v>
      </c>
      <c r="I59" s="16">
        <f>J59-H59</f>
        <v>0</v>
      </c>
      <c r="J59" s="16">
        <f>F59*G59</f>
        <v>0</v>
      </c>
      <c r="K59" s="16">
        <v>1.4</v>
      </c>
      <c r="L59" s="16">
        <f>F59*K59</f>
        <v>29.525999999999996</v>
      </c>
      <c r="M59" s="27" t="s">
        <v>180</v>
      </c>
      <c r="N59" s="27" t="s">
        <v>7</v>
      </c>
      <c r="O59" s="16">
        <f>IF(N59="5",I59,0)</f>
        <v>0</v>
      </c>
      <c r="Z59" s="16">
        <f>IF(AD59=0,J59,0)</f>
        <v>0</v>
      </c>
      <c r="AA59" s="16">
        <f>IF(AD59=15,J59,0)</f>
        <v>0</v>
      </c>
      <c r="AB59" s="16">
        <f>IF(AD59=21,J59,0)</f>
        <v>0</v>
      </c>
      <c r="AD59" s="31">
        <v>21</v>
      </c>
      <c r="AE59" s="31">
        <f>G59*0</f>
        <v>0</v>
      </c>
      <c r="AF59" s="31">
        <f>G59*(1-0)</f>
        <v>0</v>
      </c>
      <c r="AM59" s="31">
        <f>F59*AE59</f>
        <v>0</v>
      </c>
      <c r="AN59" s="31">
        <f>F59*AF59</f>
        <v>0</v>
      </c>
      <c r="AO59" s="32" t="s">
        <v>205</v>
      </c>
      <c r="AP59" s="32" t="s">
        <v>213</v>
      </c>
      <c r="AQ59" s="24" t="s">
        <v>214</v>
      </c>
    </row>
    <row r="60" spans="1:43">
      <c r="A60" s="5"/>
      <c r="B60" s="12"/>
      <c r="C60" s="12" t="s">
        <v>85</v>
      </c>
      <c r="D60" s="85" t="s">
        <v>146</v>
      </c>
      <c r="E60" s="86"/>
      <c r="F60" s="86"/>
      <c r="G60" s="86"/>
      <c r="H60" s="34">
        <f>SUM(H61:H61)</f>
        <v>0</v>
      </c>
      <c r="I60" s="34">
        <f>SUM(I61:I61)</f>
        <v>0</v>
      </c>
      <c r="J60" s="34">
        <f>H60+I60</f>
        <v>0</v>
      </c>
      <c r="K60" s="24"/>
      <c r="L60" s="34">
        <f>SUM(L61:L61)</f>
        <v>0</v>
      </c>
      <c r="M60" s="24"/>
      <c r="P60" s="34">
        <f>IF(Q60="PR",J60,SUM(O61:O61))</f>
        <v>0</v>
      </c>
      <c r="Q60" s="24" t="s">
        <v>183</v>
      </c>
      <c r="R60" s="34">
        <f>IF(Q60="HS",H60,0)</f>
        <v>0</v>
      </c>
      <c r="S60" s="34">
        <f>IF(Q60="HS",I60-P60,0)</f>
        <v>0</v>
      </c>
      <c r="T60" s="34">
        <f>IF(Q60="PS",H60,0)</f>
        <v>0</v>
      </c>
      <c r="U60" s="34">
        <f>IF(Q60="PS",I60-P60,0)</f>
        <v>0</v>
      </c>
      <c r="V60" s="34">
        <f>IF(Q60="MP",H60,0)</f>
        <v>0</v>
      </c>
      <c r="W60" s="34">
        <f>IF(Q60="MP",I60-P60,0)</f>
        <v>0</v>
      </c>
      <c r="X60" s="34">
        <f>IF(Q60="OM",H60,0)</f>
        <v>0</v>
      </c>
      <c r="Y60" s="24"/>
      <c r="AI60" s="34">
        <f>SUM(Z61:Z61)</f>
        <v>0</v>
      </c>
      <c r="AJ60" s="34">
        <f>SUM(AA61:AA61)</f>
        <v>0</v>
      </c>
      <c r="AK60" s="34">
        <f>SUM(AB61:AB61)</f>
        <v>0</v>
      </c>
    </row>
    <row r="61" spans="1:43">
      <c r="A61" s="4" t="s">
        <v>38</v>
      </c>
      <c r="B61" s="4"/>
      <c r="C61" s="4" t="s">
        <v>86</v>
      </c>
      <c r="D61" s="4" t="s">
        <v>147</v>
      </c>
      <c r="E61" s="4" t="s">
        <v>163</v>
      </c>
      <c r="F61" s="16">
        <v>1345.04</v>
      </c>
      <c r="G61" s="16">
        <v>0</v>
      </c>
      <c r="H61" s="16">
        <f>F61*AE61</f>
        <v>0</v>
      </c>
      <c r="I61" s="16">
        <f>J61-H61</f>
        <v>0</v>
      </c>
      <c r="J61" s="16">
        <f>F61*G61</f>
        <v>0</v>
      </c>
      <c r="K61" s="16">
        <v>0</v>
      </c>
      <c r="L61" s="16">
        <f>F61*K61</f>
        <v>0</v>
      </c>
      <c r="M61" s="27" t="s">
        <v>180</v>
      </c>
      <c r="N61" s="27" t="s">
        <v>11</v>
      </c>
      <c r="O61" s="16">
        <f>IF(N61="5",I61,0)</f>
        <v>0</v>
      </c>
      <c r="Z61" s="16">
        <f>IF(AD61=0,J61,0)</f>
        <v>0</v>
      </c>
      <c r="AA61" s="16">
        <f>IF(AD61=15,J61,0)</f>
        <v>0</v>
      </c>
      <c r="AB61" s="16">
        <f>IF(AD61=21,J61,0)</f>
        <v>0</v>
      </c>
      <c r="AD61" s="31">
        <v>21</v>
      </c>
      <c r="AE61" s="31">
        <f>G61*0</f>
        <v>0</v>
      </c>
      <c r="AF61" s="31">
        <f>G61*(1-0)</f>
        <v>0</v>
      </c>
      <c r="AM61" s="31">
        <f>F61*AE61</f>
        <v>0</v>
      </c>
      <c r="AN61" s="31">
        <f>F61*AF61</f>
        <v>0</v>
      </c>
      <c r="AO61" s="32" t="s">
        <v>206</v>
      </c>
      <c r="AP61" s="32" t="s">
        <v>213</v>
      </c>
      <c r="AQ61" s="24" t="s">
        <v>214</v>
      </c>
    </row>
    <row r="62" spans="1:43">
      <c r="A62" s="5"/>
      <c r="B62" s="12"/>
      <c r="C62" s="12" t="s">
        <v>87</v>
      </c>
      <c r="D62" s="85" t="s">
        <v>148</v>
      </c>
      <c r="E62" s="86"/>
      <c r="F62" s="86"/>
      <c r="G62" s="86"/>
      <c r="H62" s="34">
        <f>SUM(H63:H67)</f>
        <v>0</v>
      </c>
      <c r="I62" s="34">
        <f>SUM(I63:I67)</f>
        <v>0</v>
      </c>
      <c r="J62" s="34">
        <f>H62+I62</f>
        <v>0</v>
      </c>
      <c r="K62" s="24"/>
      <c r="L62" s="34">
        <f>SUM(L63:L67)</f>
        <v>0</v>
      </c>
      <c r="M62" s="24"/>
      <c r="P62" s="34">
        <f>IF(Q62="PR",J62,SUM(O63:O67))</f>
        <v>0</v>
      </c>
      <c r="Q62" s="24" t="s">
        <v>183</v>
      </c>
      <c r="R62" s="34">
        <f>IF(Q62="HS",H62,0)</f>
        <v>0</v>
      </c>
      <c r="S62" s="34">
        <f>IF(Q62="HS",I62-P62,0)</f>
        <v>0</v>
      </c>
      <c r="T62" s="34">
        <f>IF(Q62="PS",H62,0)</f>
        <v>0</v>
      </c>
      <c r="U62" s="34">
        <f>IF(Q62="PS",I62-P62,0)</f>
        <v>0</v>
      </c>
      <c r="V62" s="34">
        <f>IF(Q62="MP",H62,0)</f>
        <v>0</v>
      </c>
      <c r="W62" s="34">
        <f>IF(Q62="MP",I62-P62,0)</f>
        <v>0</v>
      </c>
      <c r="X62" s="34">
        <f>IF(Q62="OM",H62,0)</f>
        <v>0</v>
      </c>
      <c r="Y62" s="24"/>
      <c r="AI62" s="34">
        <f>SUM(Z63:Z67)</f>
        <v>0</v>
      </c>
      <c r="AJ62" s="34">
        <f>SUM(AA63:AA67)</f>
        <v>0</v>
      </c>
      <c r="AK62" s="34">
        <f>SUM(AB63:AB67)</f>
        <v>0</v>
      </c>
    </row>
    <row r="63" spans="1:43">
      <c r="A63" s="4" t="s">
        <v>39</v>
      </c>
      <c r="B63" s="4"/>
      <c r="C63" s="4" t="s">
        <v>88</v>
      </c>
      <c r="D63" s="4" t="s">
        <v>149</v>
      </c>
      <c r="E63" s="4" t="s">
        <v>163</v>
      </c>
      <c r="F63" s="16">
        <v>158.55000000000001</v>
      </c>
      <c r="G63" s="16">
        <v>0</v>
      </c>
      <c r="H63" s="16">
        <f>F63*AE63</f>
        <v>0</v>
      </c>
      <c r="I63" s="16">
        <f>J63-H63</f>
        <v>0</v>
      </c>
      <c r="J63" s="16">
        <f>F63*G63</f>
        <v>0</v>
      </c>
      <c r="K63" s="16">
        <v>0</v>
      </c>
      <c r="L63" s="16">
        <f>F63*K63</f>
        <v>0</v>
      </c>
      <c r="M63" s="27" t="s">
        <v>180</v>
      </c>
      <c r="N63" s="27" t="s">
        <v>11</v>
      </c>
      <c r="O63" s="16">
        <f>IF(N63="5",I63,0)</f>
        <v>0</v>
      </c>
      <c r="Z63" s="16">
        <f>IF(AD63=0,J63,0)</f>
        <v>0</v>
      </c>
      <c r="AA63" s="16">
        <f>IF(AD63=15,J63,0)</f>
        <v>0</v>
      </c>
      <c r="AB63" s="16">
        <f>IF(AD63=21,J63,0)</f>
        <v>0</v>
      </c>
      <c r="AD63" s="31">
        <v>21</v>
      </c>
      <c r="AE63" s="31">
        <f>G63*0</f>
        <v>0</v>
      </c>
      <c r="AF63" s="31">
        <f>G63*(1-0)</f>
        <v>0</v>
      </c>
      <c r="AM63" s="31">
        <f>F63*AE63</f>
        <v>0</v>
      </c>
      <c r="AN63" s="31">
        <f>F63*AF63</f>
        <v>0</v>
      </c>
      <c r="AO63" s="32" t="s">
        <v>207</v>
      </c>
      <c r="AP63" s="32" t="s">
        <v>213</v>
      </c>
      <c r="AQ63" s="24" t="s">
        <v>214</v>
      </c>
    </row>
    <row r="64" spans="1:43">
      <c r="A64" s="4" t="s">
        <v>40</v>
      </c>
      <c r="B64" s="4"/>
      <c r="C64" s="4" t="s">
        <v>89</v>
      </c>
      <c r="D64" s="4" t="s">
        <v>150</v>
      </c>
      <c r="E64" s="4" t="s">
        <v>163</v>
      </c>
      <c r="F64" s="16">
        <v>2378.25</v>
      </c>
      <c r="G64" s="16">
        <v>0</v>
      </c>
      <c r="H64" s="16">
        <f>F64*AE64</f>
        <v>0</v>
      </c>
      <c r="I64" s="16">
        <f>J64-H64</f>
        <v>0</v>
      </c>
      <c r="J64" s="16">
        <f>F64*G64</f>
        <v>0</v>
      </c>
      <c r="K64" s="16">
        <v>0</v>
      </c>
      <c r="L64" s="16">
        <f>F64*K64</f>
        <v>0</v>
      </c>
      <c r="M64" s="27" t="s">
        <v>180</v>
      </c>
      <c r="N64" s="27" t="s">
        <v>11</v>
      </c>
      <c r="O64" s="16">
        <f>IF(N64="5",I64,0)</f>
        <v>0</v>
      </c>
      <c r="Z64" s="16">
        <f>IF(AD64=0,J64,0)</f>
        <v>0</v>
      </c>
      <c r="AA64" s="16">
        <f>IF(AD64=15,J64,0)</f>
        <v>0</v>
      </c>
      <c r="AB64" s="16">
        <f>IF(AD64=21,J64,0)</f>
        <v>0</v>
      </c>
      <c r="AD64" s="31">
        <v>21</v>
      </c>
      <c r="AE64" s="31">
        <f>G64*0</f>
        <v>0</v>
      </c>
      <c r="AF64" s="31">
        <f>G64*(1-0)</f>
        <v>0</v>
      </c>
      <c r="AM64" s="31">
        <f>F64*AE64</f>
        <v>0</v>
      </c>
      <c r="AN64" s="31">
        <f>F64*AF64</f>
        <v>0</v>
      </c>
      <c r="AO64" s="32" t="s">
        <v>207</v>
      </c>
      <c r="AP64" s="32" t="s">
        <v>213</v>
      </c>
      <c r="AQ64" s="24" t="s">
        <v>214</v>
      </c>
    </row>
    <row r="65" spans="1:43">
      <c r="A65" s="4" t="s">
        <v>41</v>
      </c>
      <c r="B65" s="4"/>
      <c r="C65" s="4" t="s">
        <v>90</v>
      </c>
      <c r="D65" s="4" t="s">
        <v>151</v>
      </c>
      <c r="E65" s="4" t="s">
        <v>163</v>
      </c>
      <c r="F65" s="16">
        <v>158.55000000000001</v>
      </c>
      <c r="G65" s="16">
        <v>0</v>
      </c>
      <c r="H65" s="16">
        <f>F65*AE65</f>
        <v>0</v>
      </c>
      <c r="I65" s="16">
        <f>J65-H65</f>
        <v>0</v>
      </c>
      <c r="J65" s="16">
        <f>F65*G65</f>
        <v>0</v>
      </c>
      <c r="K65" s="16">
        <v>0</v>
      </c>
      <c r="L65" s="16">
        <f>F65*K65</f>
        <v>0</v>
      </c>
      <c r="M65" s="27" t="s">
        <v>180</v>
      </c>
      <c r="N65" s="27" t="s">
        <v>11</v>
      </c>
      <c r="O65" s="16">
        <f>IF(N65="5",I65,0)</f>
        <v>0</v>
      </c>
      <c r="Z65" s="16">
        <f>IF(AD65=0,J65,0)</f>
        <v>0</v>
      </c>
      <c r="AA65" s="16">
        <f>IF(AD65=15,J65,0)</f>
        <v>0</v>
      </c>
      <c r="AB65" s="16">
        <f>IF(AD65=21,J65,0)</f>
        <v>0</v>
      </c>
      <c r="AD65" s="31">
        <v>21</v>
      </c>
      <c r="AE65" s="31">
        <f>G65*0</f>
        <v>0</v>
      </c>
      <c r="AF65" s="31">
        <f>G65*(1-0)</f>
        <v>0</v>
      </c>
      <c r="AM65" s="31">
        <f>F65*AE65</f>
        <v>0</v>
      </c>
      <c r="AN65" s="31">
        <f>F65*AF65</f>
        <v>0</v>
      </c>
      <c r="AO65" s="32" t="s">
        <v>207</v>
      </c>
      <c r="AP65" s="32" t="s">
        <v>213</v>
      </c>
      <c r="AQ65" s="24" t="s">
        <v>214</v>
      </c>
    </row>
    <row r="66" spans="1:43">
      <c r="A66" s="4" t="s">
        <v>42</v>
      </c>
      <c r="B66" s="4"/>
      <c r="C66" s="4" t="s">
        <v>91</v>
      </c>
      <c r="D66" s="4" t="s">
        <v>152</v>
      </c>
      <c r="E66" s="4" t="s">
        <v>163</v>
      </c>
      <c r="F66" s="16">
        <v>158.55000000000001</v>
      </c>
      <c r="G66" s="16">
        <v>0</v>
      </c>
      <c r="H66" s="16">
        <f>F66*AE66</f>
        <v>0</v>
      </c>
      <c r="I66" s="16">
        <f>J66-H66</f>
        <v>0</v>
      </c>
      <c r="J66" s="16">
        <f>F66*G66</f>
        <v>0</v>
      </c>
      <c r="K66" s="16">
        <v>0</v>
      </c>
      <c r="L66" s="16">
        <f>F66*K66</f>
        <v>0</v>
      </c>
      <c r="M66" s="27" t="s">
        <v>180</v>
      </c>
      <c r="N66" s="27" t="s">
        <v>11</v>
      </c>
      <c r="O66" s="16">
        <f>IF(N66="5",I66,0)</f>
        <v>0</v>
      </c>
      <c r="Z66" s="16">
        <f>IF(AD66=0,J66,0)</f>
        <v>0</v>
      </c>
      <c r="AA66" s="16">
        <f>IF(AD66=15,J66,0)</f>
        <v>0</v>
      </c>
      <c r="AB66" s="16">
        <f>IF(AD66=21,J66,0)</f>
        <v>0</v>
      </c>
      <c r="AD66" s="31">
        <v>21</v>
      </c>
      <c r="AE66" s="31">
        <f>G66*0</f>
        <v>0</v>
      </c>
      <c r="AF66" s="31">
        <f>G66*(1-0)</f>
        <v>0</v>
      </c>
      <c r="AM66" s="31">
        <f>F66*AE66</f>
        <v>0</v>
      </c>
      <c r="AN66" s="31">
        <f>F66*AF66</f>
        <v>0</v>
      </c>
      <c r="AO66" s="32" t="s">
        <v>207</v>
      </c>
      <c r="AP66" s="32" t="s">
        <v>213</v>
      </c>
      <c r="AQ66" s="24" t="s">
        <v>214</v>
      </c>
    </row>
    <row r="67" spans="1:43">
      <c r="A67" s="6" t="s">
        <v>43</v>
      </c>
      <c r="B67" s="6"/>
      <c r="C67" s="6" t="s">
        <v>92</v>
      </c>
      <c r="D67" s="6" t="s">
        <v>153</v>
      </c>
      <c r="E67" s="6" t="s">
        <v>163</v>
      </c>
      <c r="F67" s="17">
        <v>158.55000000000001</v>
      </c>
      <c r="G67" s="17">
        <v>0</v>
      </c>
      <c r="H67" s="17">
        <f>F67*AE67</f>
        <v>0</v>
      </c>
      <c r="I67" s="17">
        <f>J67-H67</f>
        <v>0</v>
      </c>
      <c r="J67" s="17">
        <f>F67*G67</f>
        <v>0</v>
      </c>
      <c r="K67" s="17">
        <v>0</v>
      </c>
      <c r="L67" s="17">
        <f>F67*K67</f>
        <v>0</v>
      </c>
      <c r="M67" s="28" t="s">
        <v>180</v>
      </c>
      <c r="N67" s="27" t="s">
        <v>11</v>
      </c>
      <c r="O67" s="16">
        <f>IF(N67="5",I67,0)</f>
        <v>0</v>
      </c>
      <c r="Z67" s="16">
        <f>IF(AD67=0,J67,0)</f>
        <v>0</v>
      </c>
      <c r="AA67" s="16">
        <f>IF(AD67=15,J67,0)</f>
        <v>0</v>
      </c>
      <c r="AB67" s="16">
        <f>IF(AD67=21,J67,0)</f>
        <v>0</v>
      </c>
      <c r="AD67" s="31">
        <v>21</v>
      </c>
      <c r="AE67" s="31">
        <f>G67*0</f>
        <v>0</v>
      </c>
      <c r="AF67" s="31">
        <f>G67*(1-0)</f>
        <v>0</v>
      </c>
      <c r="AM67" s="31">
        <f>F67*AE67</f>
        <v>0</v>
      </c>
      <c r="AN67" s="31">
        <f>F67*AF67</f>
        <v>0</v>
      </c>
      <c r="AO67" s="32" t="s">
        <v>207</v>
      </c>
      <c r="AP67" s="32" t="s">
        <v>213</v>
      </c>
      <c r="AQ67" s="24" t="s">
        <v>214</v>
      </c>
    </row>
    <row r="68" spans="1:43">
      <c r="A68" s="7"/>
      <c r="B68" s="7"/>
      <c r="C68" s="7"/>
      <c r="D68" s="7"/>
      <c r="E68" s="7"/>
      <c r="F68" s="7"/>
      <c r="G68" s="7"/>
      <c r="H68" s="87" t="s">
        <v>169</v>
      </c>
      <c r="I68" s="88"/>
      <c r="J68" s="35">
        <f>J12+J14+J16+J21+J26+J28+J31+J33+J35+J37+J39+J43+J46+J52+J54+J60+J62</f>
        <v>0</v>
      </c>
      <c r="K68" s="7"/>
      <c r="L68" s="7"/>
      <c r="M68" s="7"/>
      <c r="Z68" s="36">
        <f>SUM(Z13:Z67)</f>
        <v>0</v>
      </c>
      <c r="AA68" s="36">
        <f>SUM(AA13:AA67)</f>
        <v>0</v>
      </c>
      <c r="AB68" s="36">
        <f>SUM(AB13:AB67)</f>
        <v>0</v>
      </c>
    </row>
    <row r="69" spans="1:43" ht="11.25" customHeight="1">
      <c r="A69" s="8" t="s">
        <v>44</v>
      </c>
    </row>
    <row r="70" spans="1:43" ht="409.6" hidden="1" customHeight="1">
      <c r="A70" s="74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</row>
  </sheetData>
  <mergeCells count="46">
    <mergeCell ref="D62:G62"/>
    <mergeCell ref="H68:I68"/>
    <mergeCell ref="A70:M70"/>
    <mergeCell ref="D39:G39"/>
    <mergeCell ref="D43:G43"/>
    <mergeCell ref="D46:G46"/>
    <mergeCell ref="D52:G52"/>
    <mergeCell ref="D54:G54"/>
    <mergeCell ref="D60:G60"/>
    <mergeCell ref="D26:G26"/>
    <mergeCell ref="D28:G28"/>
    <mergeCell ref="D31:G31"/>
    <mergeCell ref="D33:G33"/>
    <mergeCell ref="D35:G35"/>
    <mergeCell ref="D37:G37"/>
    <mergeCell ref="H10:J10"/>
    <mergeCell ref="K10:L10"/>
    <mergeCell ref="D12:G12"/>
    <mergeCell ref="D14:G14"/>
    <mergeCell ref="D16:G16"/>
    <mergeCell ref="D21:G21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opLeftCell="A4" workbookViewId="0">
      <selection activeCell="F4" sqref="F4:H9"/>
    </sheetView>
  </sheetViews>
  <sheetFormatPr defaultColWidth="11.5546875" defaultRowHeight="13.2"/>
  <cols>
    <col min="1" max="2" width="9.109375" customWidth="1"/>
    <col min="3" max="3" width="13.33203125" customWidth="1"/>
    <col min="4" max="4" width="49.6640625" customWidth="1"/>
    <col min="5" max="5" width="14.5546875" customWidth="1"/>
    <col min="6" max="6" width="24.109375" customWidth="1"/>
    <col min="7" max="7" width="20.44140625" customWidth="1"/>
    <col min="8" max="8" width="16.44140625" customWidth="1"/>
  </cols>
  <sheetData>
    <row r="1" spans="1:9" ht="72.900000000000006" customHeight="1">
      <c r="A1" s="61" t="s">
        <v>215</v>
      </c>
      <c r="B1" s="62"/>
      <c r="C1" s="62"/>
      <c r="D1" s="62"/>
      <c r="E1" s="62"/>
      <c r="F1" s="62"/>
      <c r="G1" s="62"/>
      <c r="H1" s="62"/>
    </row>
    <row r="2" spans="1:9">
      <c r="A2" s="63" t="s">
        <v>1</v>
      </c>
      <c r="B2" s="64"/>
      <c r="C2" s="67" t="s">
        <v>93</v>
      </c>
      <c r="D2" s="88"/>
      <c r="E2" s="70" t="s">
        <v>170</v>
      </c>
      <c r="F2" s="70" t="s">
        <v>175</v>
      </c>
      <c r="G2" s="64"/>
      <c r="H2" s="71"/>
      <c r="I2" s="29"/>
    </row>
    <row r="3" spans="1:9">
      <c r="A3" s="65"/>
      <c r="B3" s="66"/>
      <c r="C3" s="68"/>
      <c r="D3" s="68"/>
      <c r="E3" s="66"/>
      <c r="F3" s="66"/>
      <c r="G3" s="66"/>
      <c r="H3" s="72"/>
      <c r="I3" s="29"/>
    </row>
    <row r="4" spans="1:9">
      <c r="A4" s="73" t="s">
        <v>2</v>
      </c>
      <c r="B4" s="66"/>
      <c r="C4" s="74" t="s">
        <v>94</v>
      </c>
      <c r="D4" s="66"/>
      <c r="E4" s="74" t="s">
        <v>171</v>
      </c>
      <c r="F4" s="74"/>
      <c r="G4" s="66"/>
      <c r="H4" s="72"/>
      <c r="I4" s="29"/>
    </row>
    <row r="5" spans="1:9">
      <c r="A5" s="65"/>
      <c r="B5" s="66"/>
      <c r="C5" s="66"/>
      <c r="D5" s="66"/>
      <c r="E5" s="66"/>
      <c r="F5" s="66"/>
      <c r="G5" s="66"/>
      <c r="H5" s="72"/>
      <c r="I5" s="29"/>
    </row>
    <row r="6" spans="1:9">
      <c r="A6" s="73" t="s">
        <v>3</v>
      </c>
      <c r="B6" s="66"/>
      <c r="C6" s="74" t="s">
        <v>95</v>
      </c>
      <c r="D6" s="66"/>
      <c r="E6" s="74" t="s">
        <v>172</v>
      </c>
      <c r="F6" s="74"/>
      <c r="G6" s="66"/>
      <c r="H6" s="72"/>
      <c r="I6" s="29"/>
    </row>
    <row r="7" spans="1:9">
      <c r="A7" s="65"/>
      <c r="B7" s="66"/>
      <c r="C7" s="66"/>
      <c r="D7" s="66"/>
      <c r="E7" s="66"/>
      <c r="F7" s="66"/>
      <c r="G7" s="66"/>
      <c r="H7" s="72"/>
      <c r="I7" s="29"/>
    </row>
    <row r="8" spans="1:9">
      <c r="A8" s="73" t="s">
        <v>173</v>
      </c>
      <c r="B8" s="66"/>
      <c r="C8" s="74"/>
      <c r="D8" s="66"/>
      <c r="E8" s="75" t="s">
        <v>157</v>
      </c>
      <c r="F8" s="76"/>
      <c r="G8" s="66"/>
      <c r="H8" s="72"/>
      <c r="I8" s="29"/>
    </row>
    <row r="9" spans="1:9">
      <c r="A9" s="77"/>
      <c r="B9" s="78"/>
      <c r="C9" s="78"/>
      <c r="D9" s="78"/>
      <c r="E9" s="78"/>
      <c r="F9" s="78"/>
      <c r="G9" s="78"/>
      <c r="H9" s="79"/>
      <c r="I9" s="29"/>
    </row>
    <row r="10" spans="1:9">
      <c r="A10" s="37" t="s">
        <v>5</v>
      </c>
      <c r="B10" s="39" t="s">
        <v>45</v>
      </c>
      <c r="C10" s="39" t="s">
        <v>46</v>
      </c>
      <c r="D10" s="39" t="s">
        <v>96</v>
      </c>
      <c r="E10" s="39" t="s">
        <v>158</v>
      </c>
      <c r="F10" s="39" t="s">
        <v>97</v>
      </c>
      <c r="G10" s="40" t="s">
        <v>164</v>
      </c>
      <c r="H10" s="42" t="s">
        <v>216</v>
      </c>
      <c r="I10" s="30"/>
    </row>
    <row r="11" spans="1:9">
      <c r="A11" s="38" t="s">
        <v>7</v>
      </c>
      <c r="B11" s="38"/>
      <c r="C11" s="38" t="s">
        <v>47</v>
      </c>
      <c r="D11" s="38" t="s">
        <v>99</v>
      </c>
      <c r="E11" s="38" t="s">
        <v>159</v>
      </c>
      <c r="F11" s="38"/>
      <c r="G11" s="41">
        <v>28.13</v>
      </c>
      <c r="H11" s="43" t="s">
        <v>180</v>
      </c>
    </row>
    <row r="12" spans="1:9">
      <c r="A12" s="4" t="s">
        <v>8</v>
      </c>
      <c r="B12" s="4"/>
      <c r="C12" s="4" t="s">
        <v>48</v>
      </c>
      <c r="D12" s="4" t="s">
        <v>101</v>
      </c>
      <c r="E12" s="4" t="s">
        <v>160</v>
      </c>
      <c r="F12" s="4"/>
      <c r="G12" s="16">
        <v>8.1999999999999993</v>
      </c>
      <c r="H12" s="27" t="s">
        <v>180</v>
      </c>
    </row>
    <row r="13" spans="1:9">
      <c r="A13" s="4" t="s">
        <v>9</v>
      </c>
      <c r="B13" s="4"/>
      <c r="C13" s="4" t="s">
        <v>49</v>
      </c>
      <c r="D13" s="4" t="s">
        <v>103</v>
      </c>
      <c r="E13" s="4" t="s">
        <v>160</v>
      </c>
      <c r="F13" s="4"/>
      <c r="G13" s="16">
        <v>289.95999999999998</v>
      </c>
      <c r="H13" s="27" t="s">
        <v>180</v>
      </c>
    </row>
    <row r="14" spans="1:9">
      <c r="A14" s="4" t="s">
        <v>10</v>
      </c>
      <c r="B14" s="4"/>
      <c r="C14" s="4" t="s">
        <v>50</v>
      </c>
      <c r="D14" s="4" t="s">
        <v>104</v>
      </c>
      <c r="E14" s="4" t="s">
        <v>160</v>
      </c>
      <c r="F14" s="4"/>
      <c r="G14" s="16">
        <v>289.95999999999998</v>
      </c>
      <c r="H14" s="27" t="s">
        <v>180</v>
      </c>
    </row>
    <row r="15" spans="1:9">
      <c r="D15" s="14" t="s">
        <v>105</v>
      </c>
    </row>
    <row r="16" spans="1:9">
      <c r="A16" s="4" t="s">
        <v>11</v>
      </c>
      <c r="B16" s="4"/>
      <c r="C16" s="4" t="s">
        <v>51</v>
      </c>
      <c r="D16" s="4" t="s">
        <v>106</v>
      </c>
      <c r="E16" s="4" t="s">
        <v>160</v>
      </c>
      <c r="F16" s="4"/>
      <c r="G16" s="16">
        <v>289.95999999999998</v>
      </c>
      <c r="H16" s="27" t="s">
        <v>180</v>
      </c>
    </row>
    <row r="17" spans="1:8">
      <c r="A17" s="4" t="s">
        <v>12</v>
      </c>
      <c r="B17" s="4"/>
      <c r="C17" s="4" t="s">
        <v>52</v>
      </c>
      <c r="D17" s="4" t="s">
        <v>108</v>
      </c>
      <c r="E17" s="4" t="s">
        <v>160</v>
      </c>
      <c r="F17" s="4"/>
      <c r="G17" s="16">
        <v>8.1999999999999993</v>
      </c>
      <c r="H17" s="27" t="s">
        <v>180</v>
      </c>
    </row>
    <row r="18" spans="1:8">
      <c r="A18" s="4" t="s">
        <v>13</v>
      </c>
      <c r="B18" s="4"/>
      <c r="C18" s="4" t="s">
        <v>53</v>
      </c>
      <c r="D18" s="4" t="s">
        <v>109</v>
      </c>
      <c r="E18" s="4" t="s">
        <v>160</v>
      </c>
      <c r="F18" s="4"/>
      <c r="G18" s="16">
        <v>286.95999999999998</v>
      </c>
      <c r="H18" s="27" t="s">
        <v>180</v>
      </c>
    </row>
    <row r="19" spans="1:8">
      <c r="A19" s="4" t="s">
        <v>14</v>
      </c>
      <c r="B19" s="4"/>
      <c r="C19" s="4" t="s">
        <v>54</v>
      </c>
      <c r="D19" s="4" t="s">
        <v>110</v>
      </c>
      <c r="E19" s="4" t="s">
        <v>160</v>
      </c>
      <c r="F19" s="4"/>
      <c r="G19" s="16">
        <v>21.09</v>
      </c>
      <c r="H19" s="27" t="s">
        <v>180</v>
      </c>
    </row>
    <row r="20" spans="1:8">
      <c r="D20" s="14" t="s">
        <v>111</v>
      </c>
    </row>
    <row r="21" spans="1:8">
      <c r="A21" s="4" t="s">
        <v>15</v>
      </c>
      <c r="B21" s="4"/>
      <c r="C21" s="4" t="s">
        <v>55</v>
      </c>
      <c r="D21" s="4" t="s">
        <v>113</v>
      </c>
      <c r="E21" s="4" t="s">
        <v>161</v>
      </c>
      <c r="F21" s="4"/>
      <c r="G21" s="16">
        <v>1</v>
      </c>
      <c r="H21" s="27" t="s">
        <v>180</v>
      </c>
    </row>
    <row r="22" spans="1:8">
      <c r="A22" s="4" t="s">
        <v>16</v>
      </c>
      <c r="B22" s="4"/>
      <c r="C22" s="4" t="s">
        <v>56</v>
      </c>
      <c r="D22" s="4" t="s">
        <v>115</v>
      </c>
      <c r="E22" s="4" t="s">
        <v>162</v>
      </c>
      <c r="F22" s="4"/>
      <c r="G22" s="16">
        <v>185</v>
      </c>
      <c r="H22" s="27" t="s">
        <v>180</v>
      </c>
    </row>
    <row r="23" spans="1:8">
      <c r="A23" s="4" t="s">
        <v>17</v>
      </c>
      <c r="B23" s="4"/>
      <c r="C23" s="4" t="s">
        <v>57</v>
      </c>
      <c r="D23" s="4" t="s">
        <v>116</v>
      </c>
      <c r="E23" s="4" t="s">
        <v>159</v>
      </c>
      <c r="F23" s="4"/>
      <c r="G23" s="16">
        <v>48</v>
      </c>
      <c r="H23" s="27" t="s">
        <v>180</v>
      </c>
    </row>
    <row r="24" spans="1:8">
      <c r="A24" s="4" t="s">
        <v>18</v>
      </c>
      <c r="B24" s="4"/>
      <c r="C24" s="4" t="s">
        <v>58</v>
      </c>
      <c r="D24" s="4" t="s">
        <v>118</v>
      </c>
      <c r="E24" s="4" t="s">
        <v>160</v>
      </c>
      <c r="F24" s="4"/>
      <c r="G24" s="16">
        <v>39.26</v>
      </c>
      <c r="H24" s="27" t="s">
        <v>180</v>
      </c>
    </row>
    <row r="25" spans="1:8">
      <c r="A25" s="4" t="s">
        <v>19</v>
      </c>
      <c r="B25" s="4"/>
      <c r="C25" s="4" t="s">
        <v>59</v>
      </c>
      <c r="D25" s="4" t="s">
        <v>120</v>
      </c>
      <c r="E25" s="4" t="s">
        <v>162</v>
      </c>
      <c r="F25" s="4"/>
      <c r="G25" s="16">
        <v>18</v>
      </c>
      <c r="H25" s="27" t="s">
        <v>180</v>
      </c>
    </row>
    <row r="26" spans="1:8">
      <c r="A26" s="4" t="s">
        <v>20</v>
      </c>
      <c r="B26" s="4"/>
      <c r="C26" s="4" t="s">
        <v>61</v>
      </c>
      <c r="D26" s="4" t="s">
        <v>122</v>
      </c>
      <c r="E26" s="4" t="s">
        <v>160</v>
      </c>
      <c r="F26" s="4"/>
      <c r="G26" s="16">
        <v>2.59</v>
      </c>
      <c r="H26" s="27" t="s">
        <v>180</v>
      </c>
    </row>
    <row r="27" spans="1:8">
      <c r="A27" s="4" t="s">
        <v>21</v>
      </c>
      <c r="B27" s="4"/>
      <c r="C27" s="4" t="s">
        <v>63</v>
      </c>
      <c r="D27" s="4" t="s">
        <v>124</v>
      </c>
      <c r="E27" s="4" t="s">
        <v>159</v>
      </c>
      <c r="F27" s="4"/>
      <c r="G27" s="16">
        <v>107.25</v>
      </c>
      <c r="H27" s="27" t="s">
        <v>180</v>
      </c>
    </row>
    <row r="28" spans="1:8">
      <c r="A28" s="4" t="s">
        <v>22</v>
      </c>
      <c r="B28" s="4"/>
      <c r="C28" s="4" t="s">
        <v>65</v>
      </c>
      <c r="D28" s="4" t="s">
        <v>126</v>
      </c>
      <c r="E28" s="4" t="s">
        <v>159</v>
      </c>
      <c r="F28" s="4"/>
      <c r="G28" s="16">
        <v>37.130000000000003</v>
      </c>
      <c r="H28" s="27" t="s">
        <v>180</v>
      </c>
    </row>
    <row r="29" spans="1:8">
      <c r="A29" s="4" t="s">
        <v>23</v>
      </c>
      <c r="B29" s="4"/>
      <c r="C29" s="4" t="s">
        <v>66</v>
      </c>
      <c r="D29" s="4" t="s">
        <v>127</v>
      </c>
      <c r="E29" s="4" t="s">
        <v>159</v>
      </c>
      <c r="F29" s="4"/>
      <c r="G29" s="16">
        <v>2636</v>
      </c>
      <c r="H29" s="27" t="s">
        <v>180</v>
      </c>
    </row>
    <row r="30" spans="1:8">
      <c r="A30" s="4" t="s">
        <v>24</v>
      </c>
      <c r="B30" s="4"/>
      <c r="C30" s="4" t="s">
        <v>67</v>
      </c>
      <c r="D30" s="4" t="s">
        <v>128</v>
      </c>
      <c r="E30" s="4" t="s">
        <v>159</v>
      </c>
      <c r="F30" s="4"/>
      <c r="G30" s="16">
        <v>664</v>
      </c>
      <c r="H30" s="27" t="s">
        <v>180</v>
      </c>
    </row>
    <row r="31" spans="1:8">
      <c r="A31" s="4" t="s">
        <v>25</v>
      </c>
      <c r="B31" s="4"/>
      <c r="C31" s="4" t="s">
        <v>69</v>
      </c>
      <c r="D31" s="4" t="s">
        <v>130</v>
      </c>
      <c r="E31" s="4" t="s">
        <v>159</v>
      </c>
      <c r="F31" s="4"/>
      <c r="G31" s="16">
        <v>2636</v>
      </c>
      <c r="H31" s="27" t="s">
        <v>180</v>
      </c>
    </row>
    <row r="32" spans="1:8">
      <c r="A32" s="4" t="s">
        <v>26</v>
      </c>
      <c r="B32" s="4"/>
      <c r="C32" s="4" t="s">
        <v>70</v>
      </c>
      <c r="D32" s="4" t="s">
        <v>131</v>
      </c>
      <c r="E32" s="4" t="s">
        <v>159</v>
      </c>
      <c r="F32" s="4"/>
      <c r="G32" s="16">
        <v>2002</v>
      </c>
      <c r="H32" s="27" t="s">
        <v>180</v>
      </c>
    </row>
    <row r="33" spans="1:8">
      <c r="A33" s="4" t="s">
        <v>27</v>
      </c>
      <c r="B33" s="4"/>
      <c r="C33" s="4" t="s">
        <v>72</v>
      </c>
      <c r="D33" s="4" t="s">
        <v>133</v>
      </c>
      <c r="E33" s="4" t="s">
        <v>161</v>
      </c>
      <c r="F33" s="4"/>
      <c r="G33" s="16">
        <v>1</v>
      </c>
      <c r="H33" s="27" t="s">
        <v>180</v>
      </c>
    </row>
    <row r="34" spans="1:8">
      <c r="A34" s="4" t="s">
        <v>28</v>
      </c>
      <c r="B34" s="4"/>
      <c r="C34" s="4" t="s">
        <v>73</v>
      </c>
      <c r="D34" s="4" t="s">
        <v>134</v>
      </c>
      <c r="E34" s="4" t="s">
        <v>162</v>
      </c>
      <c r="F34" s="4"/>
      <c r="G34" s="16">
        <v>7.5</v>
      </c>
      <c r="H34" s="27" t="s">
        <v>180</v>
      </c>
    </row>
    <row r="35" spans="1:8">
      <c r="A35" s="4" t="s">
        <v>29</v>
      </c>
      <c r="B35" s="4"/>
      <c r="C35" s="4" t="s">
        <v>74</v>
      </c>
      <c r="D35" s="4" t="s">
        <v>135</v>
      </c>
      <c r="E35" s="4" t="s">
        <v>161</v>
      </c>
      <c r="F35" s="4"/>
      <c r="G35" s="16">
        <v>1</v>
      </c>
      <c r="H35" s="27" t="s">
        <v>180</v>
      </c>
    </row>
    <row r="36" spans="1:8">
      <c r="A36" s="4" t="s">
        <v>30</v>
      </c>
      <c r="B36" s="4"/>
      <c r="C36" s="4" t="s">
        <v>75</v>
      </c>
      <c r="D36" s="4" t="s">
        <v>136</v>
      </c>
      <c r="E36" s="4" t="s">
        <v>162</v>
      </c>
      <c r="F36" s="4"/>
      <c r="G36" s="16">
        <v>3</v>
      </c>
      <c r="H36" s="27" t="s">
        <v>180</v>
      </c>
    </row>
    <row r="37" spans="1:8">
      <c r="A37" s="4" t="s">
        <v>31</v>
      </c>
      <c r="B37" s="4"/>
      <c r="C37" s="4" t="s">
        <v>76</v>
      </c>
      <c r="D37" s="4" t="s">
        <v>137</v>
      </c>
      <c r="E37" s="4" t="s">
        <v>161</v>
      </c>
      <c r="F37" s="4"/>
      <c r="G37" s="16">
        <v>1</v>
      </c>
      <c r="H37" s="27" t="s">
        <v>180</v>
      </c>
    </row>
    <row r="38" spans="1:8">
      <c r="A38" s="4" t="s">
        <v>32</v>
      </c>
      <c r="B38" s="4"/>
      <c r="C38" s="4" t="s">
        <v>78</v>
      </c>
      <c r="D38" s="4" t="s">
        <v>139</v>
      </c>
      <c r="E38" s="4" t="s">
        <v>162</v>
      </c>
      <c r="F38" s="4"/>
      <c r="G38" s="16">
        <v>638</v>
      </c>
      <c r="H38" s="27" t="s">
        <v>180</v>
      </c>
    </row>
    <row r="39" spans="1:8">
      <c r="A39" s="4" t="s">
        <v>33</v>
      </c>
      <c r="B39" s="4"/>
      <c r="C39" s="4" t="s">
        <v>80</v>
      </c>
      <c r="D39" s="4" t="s">
        <v>141</v>
      </c>
      <c r="E39" s="4" t="s">
        <v>162</v>
      </c>
      <c r="F39" s="4"/>
      <c r="G39" s="16">
        <v>5</v>
      </c>
      <c r="H39" s="27" t="s">
        <v>180</v>
      </c>
    </row>
    <row r="40" spans="1:8">
      <c r="A40" s="4" t="s">
        <v>34</v>
      </c>
      <c r="B40" s="4"/>
      <c r="C40" s="4" t="s">
        <v>81</v>
      </c>
      <c r="D40" s="4" t="s">
        <v>142</v>
      </c>
      <c r="E40" s="4" t="s">
        <v>160</v>
      </c>
      <c r="F40" s="4"/>
      <c r="G40" s="16">
        <v>39.26</v>
      </c>
      <c r="H40" s="27" t="s">
        <v>180</v>
      </c>
    </row>
    <row r="41" spans="1:8">
      <c r="A41" s="4" t="s">
        <v>35</v>
      </c>
      <c r="B41" s="4"/>
      <c r="C41" s="4" t="s">
        <v>82</v>
      </c>
      <c r="D41" s="4" t="s">
        <v>143</v>
      </c>
      <c r="E41" s="4" t="s">
        <v>160</v>
      </c>
      <c r="F41" s="4"/>
      <c r="G41" s="16">
        <v>2.59</v>
      </c>
      <c r="H41" s="27" t="s">
        <v>180</v>
      </c>
    </row>
    <row r="42" spans="1:8">
      <c r="A42" s="4" t="s">
        <v>36</v>
      </c>
      <c r="B42" s="4"/>
      <c r="C42" s="4" t="s">
        <v>83</v>
      </c>
      <c r="D42" s="4" t="s">
        <v>144</v>
      </c>
      <c r="E42" s="4" t="s">
        <v>162</v>
      </c>
      <c r="F42" s="4"/>
      <c r="G42" s="16">
        <v>18</v>
      </c>
      <c r="H42" s="27" t="s">
        <v>180</v>
      </c>
    </row>
    <row r="43" spans="1:8">
      <c r="A43" s="4" t="s">
        <v>37</v>
      </c>
      <c r="B43" s="4"/>
      <c r="C43" s="4" t="s">
        <v>84</v>
      </c>
      <c r="D43" s="4" t="s">
        <v>145</v>
      </c>
      <c r="E43" s="4" t="s">
        <v>160</v>
      </c>
      <c r="F43" s="4"/>
      <c r="G43" s="16">
        <v>21.09</v>
      </c>
      <c r="H43" s="27" t="s">
        <v>180</v>
      </c>
    </row>
    <row r="44" spans="1:8">
      <c r="A44" s="4" t="s">
        <v>38</v>
      </c>
      <c r="B44" s="4"/>
      <c r="C44" s="4" t="s">
        <v>86</v>
      </c>
      <c r="D44" s="4" t="s">
        <v>147</v>
      </c>
      <c r="E44" s="4" t="s">
        <v>163</v>
      </c>
      <c r="F44" s="4"/>
      <c r="G44" s="16">
        <v>1345.04</v>
      </c>
      <c r="H44" s="27" t="s">
        <v>180</v>
      </c>
    </row>
    <row r="45" spans="1:8">
      <c r="A45" s="4" t="s">
        <v>39</v>
      </c>
      <c r="B45" s="4"/>
      <c r="C45" s="4" t="s">
        <v>88</v>
      </c>
      <c r="D45" s="4" t="s">
        <v>149</v>
      </c>
      <c r="E45" s="4" t="s">
        <v>163</v>
      </c>
      <c r="F45" s="4"/>
      <c r="G45" s="16">
        <v>158.55000000000001</v>
      </c>
      <c r="H45" s="27" t="s">
        <v>180</v>
      </c>
    </row>
    <row r="46" spans="1:8">
      <c r="A46" s="4" t="s">
        <v>40</v>
      </c>
      <c r="B46" s="4"/>
      <c r="C46" s="4" t="s">
        <v>89</v>
      </c>
      <c r="D46" s="4" t="s">
        <v>150</v>
      </c>
      <c r="E46" s="4" t="s">
        <v>163</v>
      </c>
      <c r="F46" s="4"/>
      <c r="G46" s="16">
        <v>2378.25</v>
      </c>
      <c r="H46" s="27" t="s">
        <v>180</v>
      </c>
    </row>
    <row r="47" spans="1:8">
      <c r="A47" s="4" t="s">
        <v>41</v>
      </c>
      <c r="B47" s="4"/>
      <c r="C47" s="4" t="s">
        <v>90</v>
      </c>
      <c r="D47" s="4" t="s">
        <v>151</v>
      </c>
      <c r="E47" s="4" t="s">
        <v>163</v>
      </c>
      <c r="F47" s="4"/>
      <c r="G47" s="16">
        <v>158.55000000000001</v>
      </c>
      <c r="H47" s="27" t="s">
        <v>180</v>
      </c>
    </row>
    <row r="48" spans="1:8">
      <c r="A48" s="4" t="s">
        <v>42</v>
      </c>
      <c r="B48" s="4"/>
      <c r="C48" s="4" t="s">
        <v>91</v>
      </c>
      <c r="D48" s="4" t="s">
        <v>152</v>
      </c>
      <c r="E48" s="4" t="s">
        <v>163</v>
      </c>
      <c r="F48" s="4"/>
      <c r="G48" s="16">
        <v>158.55000000000001</v>
      </c>
      <c r="H48" s="27" t="s">
        <v>180</v>
      </c>
    </row>
    <row r="49" spans="1:8">
      <c r="A49" s="4" t="s">
        <v>43</v>
      </c>
      <c r="B49" s="4"/>
      <c r="C49" s="4" t="s">
        <v>92</v>
      </c>
      <c r="D49" s="4" t="s">
        <v>153</v>
      </c>
      <c r="E49" s="4" t="s">
        <v>163</v>
      </c>
      <c r="F49" s="4"/>
      <c r="G49" s="16">
        <v>158.55000000000001</v>
      </c>
      <c r="H49" s="27" t="s">
        <v>180</v>
      </c>
    </row>
    <row r="51" spans="1:8" ht="11.25" customHeight="1">
      <c r="A51" s="8" t="s">
        <v>44</v>
      </c>
    </row>
    <row r="52" spans="1:8" ht="409.6" hidden="1" customHeight="1">
      <c r="A52" s="74"/>
      <c r="B52" s="66"/>
      <c r="C52" s="66"/>
      <c r="D52" s="66"/>
      <c r="E52" s="66"/>
      <c r="F52" s="66"/>
      <c r="G52" s="66"/>
    </row>
  </sheetData>
  <mergeCells count="18">
    <mergeCell ref="A52:G52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>
      <selection activeCell="L16" sqref="L16"/>
    </sheetView>
  </sheetViews>
  <sheetFormatPr defaultColWidth="11.5546875" defaultRowHeight="13.2"/>
  <cols>
    <col min="1" max="1" width="9.109375" customWidth="1"/>
    <col min="2" max="2" width="12.88671875" customWidth="1"/>
    <col min="3" max="3" width="22.88671875" customWidth="1"/>
    <col min="4" max="4" width="10" customWidth="1"/>
    <col min="5" max="5" width="14" customWidth="1"/>
    <col min="6" max="6" width="22.88671875" customWidth="1"/>
    <col min="7" max="7" width="9.109375" customWidth="1"/>
    <col min="8" max="8" width="12.88671875" customWidth="1"/>
    <col min="9" max="9" width="22.88671875" customWidth="1"/>
  </cols>
  <sheetData>
    <row r="1" spans="1:10" ht="72.900000000000006" customHeight="1">
      <c r="A1" s="60"/>
      <c r="B1" s="44"/>
      <c r="C1" s="89" t="s">
        <v>232</v>
      </c>
      <c r="D1" s="90"/>
      <c r="E1" s="90"/>
      <c r="F1" s="90"/>
      <c r="G1" s="90"/>
      <c r="H1" s="90"/>
      <c r="I1" s="90"/>
    </row>
    <row r="2" spans="1:10">
      <c r="A2" s="63" t="s">
        <v>1</v>
      </c>
      <c r="B2" s="64"/>
      <c r="C2" s="67" t="s">
        <v>93</v>
      </c>
      <c r="D2" s="88"/>
      <c r="E2" s="70" t="s">
        <v>170</v>
      </c>
      <c r="F2" s="70" t="s">
        <v>175</v>
      </c>
      <c r="G2" s="64"/>
      <c r="H2" s="70" t="s">
        <v>259</v>
      </c>
      <c r="I2" s="91" t="s">
        <v>263</v>
      </c>
      <c r="J2" s="29"/>
    </row>
    <row r="3" spans="1:10">
      <c r="A3" s="65"/>
      <c r="B3" s="66"/>
      <c r="C3" s="68"/>
      <c r="D3" s="68"/>
      <c r="E3" s="66"/>
      <c r="F3" s="66"/>
      <c r="G3" s="66"/>
      <c r="H3" s="66"/>
      <c r="I3" s="72"/>
      <c r="J3" s="29"/>
    </row>
    <row r="4" spans="1:10">
      <c r="A4" s="73" t="s">
        <v>2</v>
      </c>
      <c r="B4" s="66"/>
      <c r="C4" s="74" t="s">
        <v>94</v>
      </c>
      <c r="D4" s="66"/>
      <c r="E4" s="74" t="s">
        <v>171</v>
      </c>
      <c r="F4" s="74"/>
      <c r="G4" s="66"/>
      <c r="H4" s="74" t="s">
        <v>259</v>
      </c>
      <c r="I4" s="92"/>
      <c r="J4" s="29"/>
    </row>
    <row r="5" spans="1:10">
      <c r="A5" s="65"/>
      <c r="B5" s="66"/>
      <c r="C5" s="66"/>
      <c r="D5" s="66"/>
      <c r="E5" s="66"/>
      <c r="F5" s="66"/>
      <c r="G5" s="66"/>
      <c r="H5" s="66"/>
      <c r="I5" s="72"/>
      <c r="J5" s="29"/>
    </row>
    <row r="6" spans="1:10">
      <c r="A6" s="73" t="s">
        <v>3</v>
      </c>
      <c r="B6" s="66"/>
      <c r="C6" s="74" t="s">
        <v>95</v>
      </c>
      <c r="D6" s="66"/>
      <c r="E6" s="74" t="s">
        <v>172</v>
      </c>
      <c r="F6" s="74"/>
      <c r="G6" s="66"/>
      <c r="H6" s="74" t="s">
        <v>259</v>
      </c>
      <c r="I6" s="92"/>
      <c r="J6" s="29"/>
    </row>
    <row r="7" spans="1:10">
      <c r="A7" s="65"/>
      <c r="B7" s="66"/>
      <c r="C7" s="66"/>
      <c r="D7" s="66"/>
      <c r="E7" s="66"/>
      <c r="F7" s="66"/>
      <c r="G7" s="66"/>
      <c r="H7" s="66"/>
      <c r="I7" s="72"/>
      <c r="J7" s="29"/>
    </row>
    <row r="8" spans="1:10">
      <c r="A8" s="73" t="s">
        <v>155</v>
      </c>
      <c r="B8" s="66"/>
      <c r="C8" s="75" t="s">
        <v>6</v>
      </c>
      <c r="D8" s="66"/>
      <c r="E8" s="74" t="s">
        <v>156</v>
      </c>
      <c r="F8" s="76"/>
      <c r="G8" s="66"/>
      <c r="H8" s="75" t="s">
        <v>260</v>
      </c>
      <c r="I8" s="92"/>
      <c r="J8" s="29"/>
    </row>
    <row r="9" spans="1:10">
      <c r="A9" s="65"/>
      <c r="B9" s="66"/>
      <c r="C9" s="66"/>
      <c r="D9" s="66"/>
      <c r="E9" s="66"/>
      <c r="F9" s="66"/>
      <c r="G9" s="66"/>
      <c r="H9" s="66"/>
      <c r="I9" s="72"/>
      <c r="J9" s="29"/>
    </row>
    <row r="10" spans="1:10">
      <c r="A10" s="73" t="s">
        <v>4</v>
      </c>
      <c r="B10" s="66"/>
      <c r="C10" s="74"/>
      <c r="D10" s="66"/>
      <c r="E10" s="74" t="s">
        <v>173</v>
      </c>
      <c r="F10" s="74"/>
      <c r="G10" s="66"/>
      <c r="H10" s="75" t="s">
        <v>261</v>
      </c>
      <c r="I10" s="95"/>
      <c r="J10" s="29"/>
    </row>
    <row r="11" spans="1:10">
      <c r="A11" s="93"/>
      <c r="B11" s="94"/>
      <c r="C11" s="94"/>
      <c r="D11" s="94"/>
      <c r="E11" s="94"/>
      <c r="F11" s="94"/>
      <c r="G11" s="94"/>
      <c r="H11" s="94"/>
      <c r="I11" s="96"/>
      <c r="J11" s="29"/>
    </row>
    <row r="12" spans="1:10" ht="23.4" customHeight="1">
      <c r="A12" s="97" t="s">
        <v>217</v>
      </c>
      <c r="B12" s="98"/>
      <c r="C12" s="98"/>
      <c r="D12" s="98"/>
      <c r="E12" s="98"/>
      <c r="F12" s="98"/>
      <c r="G12" s="98"/>
      <c r="H12" s="98"/>
      <c r="I12" s="98"/>
    </row>
    <row r="13" spans="1:10" ht="26.4" customHeight="1">
      <c r="A13" s="45" t="s">
        <v>218</v>
      </c>
      <c r="B13" s="99" t="s">
        <v>230</v>
      </c>
      <c r="C13" s="100"/>
      <c r="D13" s="45" t="s">
        <v>233</v>
      </c>
      <c r="E13" s="99" t="s">
        <v>244</v>
      </c>
      <c r="F13" s="100"/>
      <c r="G13" s="45" t="s">
        <v>245</v>
      </c>
      <c r="H13" s="99" t="s">
        <v>262</v>
      </c>
      <c r="I13" s="100"/>
      <c r="J13" s="29"/>
    </row>
    <row r="14" spans="1:10" ht="15.15" customHeight="1">
      <c r="A14" s="46" t="s">
        <v>219</v>
      </c>
      <c r="B14" s="50" t="s">
        <v>231</v>
      </c>
      <c r="C14" s="54">
        <f>SUM('Stavební rozpočet'!R12:R67)</f>
        <v>0</v>
      </c>
      <c r="D14" s="101" t="s">
        <v>234</v>
      </c>
      <c r="E14" s="102"/>
      <c r="F14" s="54">
        <v>0</v>
      </c>
      <c r="G14" s="101" t="s">
        <v>246</v>
      </c>
      <c r="H14" s="102"/>
      <c r="I14" s="54">
        <v>0</v>
      </c>
      <c r="J14" s="29"/>
    </row>
    <row r="15" spans="1:10" ht="15.15" customHeight="1">
      <c r="A15" s="47"/>
      <c r="B15" s="50" t="s">
        <v>174</v>
      </c>
      <c r="C15" s="54">
        <f>SUM('Stavební rozpočet'!S12:S67)</f>
        <v>0</v>
      </c>
      <c r="D15" s="101" t="s">
        <v>235</v>
      </c>
      <c r="E15" s="102"/>
      <c r="F15" s="54">
        <v>0</v>
      </c>
      <c r="G15" s="101" t="s">
        <v>247</v>
      </c>
      <c r="H15" s="102"/>
      <c r="I15" s="54">
        <v>0</v>
      </c>
      <c r="J15" s="29"/>
    </row>
    <row r="16" spans="1:10" ht="15.15" customHeight="1">
      <c r="A16" s="46" t="s">
        <v>220</v>
      </c>
      <c r="B16" s="50" t="s">
        <v>231</v>
      </c>
      <c r="C16" s="54">
        <f>SUM('Stavební rozpočet'!T12:T67)</f>
        <v>0</v>
      </c>
      <c r="D16" s="101" t="s">
        <v>236</v>
      </c>
      <c r="E16" s="102"/>
      <c r="F16" s="54">
        <v>0</v>
      </c>
      <c r="G16" s="101" t="s">
        <v>248</v>
      </c>
      <c r="H16" s="102"/>
      <c r="I16" s="54">
        <v>0</v>
      </c>
      <c r="J16" s="29"/>
    </row>
    <row r="17" spans="1:10" ht="15.15" customHeight="1">
      <c r="A17" s="47"/>
      <c r="B17" s="50" t="s">
        <v>174</v>
      </c>
      <c r="C17" s="54">
        <f>SUM('Stavební rozpočet'!U12:U67)</f>
        <v>0</v>
      </c>
      <c r="D17" s="101" t="s">
        <v>237</v>
      </c>
      <c r="E17" s="102"/>
      <c r="F17" s="54">
        <v>0</v>
      </c>
      <c r="G17" s="101" t="s">
        <v>249</v>
      </c>
      <c r="H17" s="102"/>
      <c r="I17" s="54">
        <v>0</v>
      </c>
      <c r="J17" s="29"/>
    </row>
    <row r="18" spans="1:10" ht="15.15" customHeight="1">
      <c r="A18" s="46" t="s">
        <v>221</v>
      </c>
      <c r="B18" s="50" t="s">
        <v>231</v>
      </c>
      <c r="C18" s="54">
        <f>SUM('Stavební rozpočet'!V12:V67)</f>
        <v>0</v>
      </c>
      <c r="D18" s="101" t="s">
        <v>238</v>
      </c>
      <c r="E18" s="102"/>
      <c r="F18" s="54">
        <v>0</v>
      </c>
      <c r="G18" s="101" t="s">
        <v>250</v>
      </c>
      <c r="H18" s="102"/>
      <c r="I18" s="54">
        <v>0</v>
      </c>
      <c r="J18" s="29"/>
    </row>
    <row r="19" spans="1:10" ht="15.15" customHeight="1">
      <c r="A19" s="47"/>
      <c r="B19" s="50" t="s">
        <v>174</v>
      </c>
      <c r="C19" s="54">
        <f>SUM('Stavební rozpočet'!W12:W67)</f>
        <v>0</v>
      </c>
      <c r="D19" s="101"/>
      <c r="E19" s="102"/>
      <c r="F19" s="55"/>
      <c r="G19" s="101" t="s">
        <v>251</v>
      </c>
      <c r="H19" s="102"/>
      <c r="I19" s="54">
        <v>0</v>
      </c>
      <c r="J19" s="29"/>
    </row>
    <row r="20" spans="1:10" ht="15.15" customHeight="1">
      <c r="A20" s="103" t="s">
        <v>222</v>
      </c>
      <c r="B20" s="104"/>
      <c r="C20" s="54">
        <f>SUM('Stavební rozpočet'!X12:X67)</f>
        <v>0</v>
      </c>
      <c r="D20" s="101"/>
      <c r="E20" s="102"/>
      <c r="F20" s="55"/>
      <c r="G20" s="101"/>
      <c r="H20" s="102"/>
      <c r="I20" s="55"/>
      <c r="J20" s="29"/>
    </row>
    <row r="21" spans="1:10" ht="15.15" customHeight="1">
      <c r="A21" s="103" t="s">
        <v>223</v>
      </c>
      <c r="B21" s="104"/>
      <c r="C21" s="54">
        <f>SUM('Stavební rozpočet'!P12:P67)</f>
        <v>0</v>
      </c>
      <c r="D21" s="101"/>
      <c r="E21" s="102"/>
      <c r="F21" s="55"/>
      <c r="G21" s="101"/>
      <c r="H21" s="102"/>
      <c r="I21" s="55"/>
      <c r="J21" s="29"/>
    </row>
    <row r="22" spans="1:10" ht="16.649999999999999" customHeight="1">
      <c r="A22" s="103" t="s">
        <v>224</v>
      </c>
      <c r="B22" s="104"/>
      <c r="C22" s="54">
        <f>SUM(C14:C21)</f>
        <v>0</v>
      </c>
      <c r="D22" s="103" t="s">
        <v>239</v>
      </c>
      <c r="E22" s="104"/>
      <c r="F22" s="54">
        <f>SUM(F14:F21)</f>
        <v>0</v>
      </c>
      <c r="G22" s="103" t="s">
        <v>252</v>
      </c>
      <c r="H22" s="104"/>
      <c r="I22" s="54">
        <f>SUM(I14:I21)</f>
        <v>0</v>
      </c>
      <c r="J22" s="29"/>
    </row>
    <row r="23" spans="1:10" ht="15.15" customHeight="1">
      <c r="A23" s="7"/>
      <c r="B23" s="7"/>
      <c r="C23" s="52"/>
      <c r="D23" s="103" t="s">
        <v>240</v>
      </c>
      <c r="E23" s="104"/>
      <c r="F23" s="56">
        <v>0</v>
      </c>
      <c r="G23" s="103" t="s">
        <v>253</v>
      </c>
      <c r="H23" s="104"/>
      <c r="I23" s="54">
        <v>0</v>
      </c>
      <c r="J23" s="29"/>
    </row>
    <row r="24" spans="1:10" ht="15.15" customHeight="1">
      <c r="D24" s="7"/>
      <c r="E24" s="7"/>
      <c r="F24" s="57"/>
      <c r="G24" s="103" t="s">
        <v>254</v>
      </c>
      <c r="H24" s="104"/>
      <c r="I24" s="54">
        <v>0</v>
      </c>
      <c r="J24" s="29"/>
    </row>
    <row r="25" spans="1:10" ht="15.15" customHeight="1">
      <c r="F25" s="58"/>
      <c r="G25" s="103" t="s">
        <v>255</v>
      </c>
      <c r="H25" s="104"/>
      <c r="I25" s="54">
        <v>0</v>
      </c>
      <c r="J25" s="29"/>
    </row>
    <row r="26" spans="1:10">
      <c r="A26" s="44"/>
      <c r="B26" s="44"/>
      <c r="C26" s="44"/>
      <c r="G26" s="7"/>
      <c r="H26" s="7"/>
      <c r="I26" s="7"/>
    </row>
    <row r="27" spans="1:10" ht="15.15" customHeight="1">
      <c r="A27" s="105" t="s">
        <v>225</v>
      </c>
      <c r="B27" s="106"/>
      <c r="C27" s="59">
        <f>SUM('Stavební rozpočet'!Z12:Z67)</f>
        <v>0</v>
      </c>
      <c r="D27" s="53"/>
      <c r="E27" s="44"/>
      <c r="F27" s="44"/>
      <c r="G27" s="44"/>
      <c r="H27" s="44"/>
      <c r="I27" s="44"/>
    </row>
    <row r="28" spans="1:10" ht="15.15" customHeight="1">
      <c r="A28" s="105" t="s">
        <v>226</v>
      </c>
      <c r="B28" s="106"/>
      <c r="C28" s="59">
        <f>SUM('Stavební rozpočet'!AA12:AA67)</f>
        <v>0</v>
      </c>
      <c r="D28" s="105" t="s">
        <v>241</v>
      </c>
      <c r="E28" s="106"/>
      <c r="F28" s="59">
        <f>ROUND(C28*(15/100),2)</f>
        <v>0</v>
      </c>
      <c r="G28" s="105" t="s">
        <v>256</v>
      </c>
      <c r="H28" s="106"/>
      <c r="I28" s="59">
        <f>SUM(C27:C29)</f>
        <v>0</v>
      </c>
      <c r="J28" s="29"/>
    </row>
    <row r="29" spans="1:10" ht="15.15" customHeight="1">
      <c r="A29" s="105" t="s">
        <v>227</v>
      </c>
      <c r="B29" s="106"/>
      <c r="C29" s="59">
        <f>SUM('Stavební rozpočet'!AB12:AB67)+(F22+I22+F23+I23+I24+I25)</f>
        <v>0</v>
      </c>
      <c r="D29" s="105" t="s">
        <v>242</v>
      </c>
      <c r="E29" s="106"/>
      <c r="F29" s="59">
        <f>ROUND(C29*(21/100),2)</f>
        <v>0</v>
      </c>
      <c r="G29" s="105" t="s">
        <v>257</v>
      </c>
      <c r="H29" s="106"/>
      <c r="I29" s="59">
        <f>SUM(F28:F29)+I28</f>
        <v>0</v>
      </c>
      <c r="J29" s="29"/>
    </row>
    <row r="30" spans="1:10">
      <c r="A30" s="48"/>
      <c r="B30" s="48"/>
      <c r="C30" s="48"/>
      <c r="D30" s="48"/>
      <c r="E30" s="48"/>
      <c r="F30" s="48"/>
      <c r="G30" s="48"/>
      <c r="H30" s="48"/>
      <c r="I30" s="48"/>
    </row>
    <row r="31" spans="1:10" ht="14.4" customHeight="1">
      <c r="A31" s="107" t="s">
        <v>228</v>
      </c>
      <c r="B31" s="108"/>
      <c r="C31" s="109"/>
      <c r="D31" s="107" t="s">
        <v>243</v>
      </c>
      <c r="E31" s="108"/>
      <c r="F31" s="109"/>
      <c r="G31" s="107" t="s">
        <v>258</v>
      </c>
      <c r="H31" s="108"/>
      <c r="I31" s="109"/>
      <c r="J31" s="30"/>
    </row>
    <row r="32" spans="1:10" ht="14.4" customHeight="1">
      <c r="A32" s="110"/>
      <c r="B32" s="111"/>
      <c r="C32" s="112"/>
      <c r="D32" s="110"/>
      <c r="E32" s="111"/>
      <c r="F32" s="112"/>
      <c r="G32" s="110"/>
      <c r="H32" s="111"/>
      <c r="I32" s="112"/>
      <c r="J32" s="30"/>
    </row>
    <row r="33" spans="1:10" ht="14.4" customHeight="1">
      <c r="A33" s="110"/>
      <c r="B33" s="111"/>
      <c r="C33" s="112"/>
      <c r="D33" s="110"/>
      <c r="E33" s="111"/>
      <c r="F33" s="112"/>
      <c r="G33" s="110"/>
      <c r="H33" s="111"/>
      <c r="I33" s="112"/>
      <c r="J33" s="30"/>
    </row>
    <row r="34" spans="1:10" ht="14.4" customHeight="1">
      <c r="A34" s="110"/>
      <c r="B34" s="111"/>
      <c r="C34" s="112"/>
      <c r="D34" s="110"/>
      <c r="E34" s="111"/>
      <c r="F34" s="112"/>
      <c r="G34" s="110"/>
      <c r="H34" s="111"/>
      <c r="I34" s="112"/>
      <c r="J34" s="30"/>
    </row>
    <row r="35" spans="1:10" ht="14.4" customHeight="1">
      <c r="A35" s="113" t="s">
        <v>229</v>
      </c>
      <c r="B35" s="114"/>
      <c r="C35" s="115"/>
      <c r="D35" s="113" t="s">
        <v>229</v>
      </c>
      <c r="E35" s="114"/>
      <c r="F35" s="115"/>
      <c r="G35" s="113" t="s">
        <v>229</v>
      </c>
      <c r="H35" s="114"/>
      <c r="I35" s="115"/>
      <c r="J35" s="30"/>
    </row>
    <row r="36" spans="1:10" ht="11.25" customHeight="1">
      <c r="A36" s="49" t="s">
        <v>44</v>
      </c>
      <c r="B36" s="51"/>
      <c r="C36" s="51"/>
      <c r="D36" s="51"/>
      <c r="E36" s="51"/>
      <c r="F36" s="51"/>
      <c r="G36" s="51"/>
      <c r="H36" s="51"/>
      <c r="I36" s="51"/>
    </row>
    <row r="37" spans="1:10" ht="409.6" hidden="1" customHeight="1">
      <c r="A37" s="74"/>
      <c r="B37" s="66"/>
      <c r="C37" s="66"/>
      <c r="D37" s="66"/>
      <c r="E37" s="66"/>
      <c r="F37" s="66"/>
      <c r="G37" s="66"/>
      <c r="H37" s="66"/>
      <c r="I37" s="66"/>
    </row>
  </sheetData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ageMargins left="0.39400000000000002" right="0.39400000000000002" top="0.59099999999999997" bottom="0.59099999999999997" header="0.5" footer="0.5"/>
  <pageSetup paperSize="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Stavební rozpočet</vt:lpstr>
      <vt:lpstr>Výkaz výměr</vt:lpstr>
      <vt:lpstr>Krycí list rozpočtu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František Henzl</dc:creator>
  <cp:lastModifiedBy>Štěpán Janák</cp:lastModifiedBy>
  <dcterms:created xsi:type="dcterms:W3CDTF">2018-08-07T08:11:39Z</dcterms:created>
  <dcterms:modified xsi:type="dcterms:W3CDTF">2018-08-07T08:47:45Z</dcterms:modified>
</cp:coreProperties>
</file>